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48" windowWidth="9576" windowHeight="12696" tabRatio="207" firstSheet="1" activeTab="1"/>
  </bookViews>
  <sheets>
    <sheet name="Лист1" sheetId="1" r:id="rId1"/>
    <sheet name="Балансы" sheetId="2" r:id="rId2"/>
    <sheet name="вспомогательная таблица" sheetId="3" r:id="rId3"/>
  </sheets>
  <definedNames>
    <definedName name="_xlnm.Print_Area" localSheetId="1">'Балансы'!$A$1:$I$39</definedName>
  </definedNames>
  <calcPr fullCalcOnLoad="1"/>
</workbook>
</file>

<file path=xl/sharedStrings.xml><?xml version="1.0" encoding="utf-8"?>
<sst xmlns="http://schemas.openxmlformats.org/spreadsheetml/2006/main" count="77" uniqueCount="68">
  <si>
    <t>КПД котельной брутто - в %</t>
  </si>
  <si>
    <t>Расход условного топлива на 1 Гкал в кг</t>
  </si>
  <si>
    <t>Южная</t>
  </si>
  <si>
    <t>Западная</t>
  </si>
  <si>
    <t>Больничный комплекс</t>
  </si>
  <si>
    <t>Школа глухонемых</t>
  </si>
  <si>
    <t>Урицкого, 16</t>
  </si>
  <si>
    <t>Совхоз-техникум</t>
  </si>
  <si>
    <t>Сельхозакадемия</t>
  </si>
  <si>
    <t>Злобина, 51б</t>
  </si>
  <si>
    <t xml:space="preserve">Пархоменко, 29в </t>
  </si>
  <si>
    <t>Аксакова</t>
  </si>
  <si>
    <t>Пермская, 1</t>
  </si>
  <si>
    <t>Воронежская</t>
  </si>
  <si>
    <t>Школа № 8</t>
  </si>
  <si>
    <t>Школа № 5</t>
  </si>
  <si>
    <t>Привокзальная</t>
  </si>
  <si>
    <t>Школа № 40</t>
  </si>
  <si>
    <t>Каляева, 7</t>
  </si>
  <si>
    <t>Итого:</t>
  </si>
  <si>
    <t>Наименование котельной</t>
  </si>
  <si>
    <t>№ п/п</t>
  </si>
  <si>
    <t>Военный городок 2</t>
  </si>
  <si>
    <t>Библиотека им.Лермонтова</t>
  </si>
  <si>
    <t>Агрохимлаборатория</t>
  </si>
  <si>
    <t>Кордон Студеный</t>
  </si>
  <si>
    <t>Галетная</t>
  </si>
  <si>
    <t>Ягодная</t>
  </si>
  <si>
    <t>Роддом № 2</t>
  </si>
  <si>
    <t>Установленная тепловая мощность, Гкал/ч</t>
  </si>
  <si>
    <t>Располагаемая тепловая мощность, Гкал/ч</t>
  </si>
  <si>
    <t>Собственные нужды источника, Гкал/ч</t>
  </si>
  <si>
    <t>Тепловые потери в сетях, Гкал/ч</t>
  </si>
  <si>
    <t>Тепловая нагрузка потребителей, Гкал/ч</t>
  </si>
  <si>
    <t>Резерв-дефицит тепловой мощности, Гкал/ч</t>
  </si>
  <si>
    <t>Таблица 6.5</t>
  </si>
  <si>
    <t>Наименование источника</t>
  </si>
  <si>
    <t>Установленная мощность, Гкал/ч</t>
  </si>
  <si>
    <t>Располагаемая мощность, Гкал/ч</t>
  </si>
  <si>
    <t>отопление</t>
  </si>
  <si>
    <t>бак</t>
  </si>
  <si>
    <t>хозяйств</t>
  </si>
  <si>
    <t>прочие</t>
  </si>
  <si>
    <t>Собственные нужды, Гкал/ч</t>
  </si>
  <si>
    <t>Тепловая мощность нетто, Гкал/ч</t>
  </si>
  <si>
    <t>Потери в тепловых сетях, Гкал/ч</t>
  </si>
  <si>
    <t>Резерв(+), дефицит(-) тепловой мощности, Гкал/ч</t>
  </si>
  <si>
    <t>Школа № 60</t>
  </si>
  <si>
    <t>Квартал 610</t>
  </si>
  <si>
    <t>Аксакова (детский сад №2)</t>
  </si>
  <si>
    <t>Измайлова</t>
  </si>
  <si>
    <t>Павлушкина</t>
  </si>
  <si>
    <t>Ломоносова</t>
  </si>
  <si>
    <t>Пермская</t>
  </si>
  <si>
    <t>Пархоменко</t>
  </si>
  <si>
    <t>Каляева</t>
  </si>
  <si>
    <t>Злобина</t>
  </si>
  <si>
    <t>4-й пр. Терновского</t>
  </si>
  <si>
    <t>Ортопедическое предприятие</t>
  </si>
  <si>
    <t>Гостиница "Пенза"</t>
  </si>
  <si>
    <t>Библиотека им. Лермонтова</t>
  </si>
  <si>
    <t>пос. Монтажный</t>
  </si>
  <si>
    <t>пос. Заря</t>
  </si>
  <si>
    <t>Военный городок № 2</t>
  </si>
  <si>
    <t>Роддом №2</t>
  </si>
  <si>
    <t>Таблица  Балансы располагаемогй мощности и присоединенной тепловой нагрузки по состоянию на 2020 год</t>
  </si>
  <si>
    <r>
      <t xml:space="preserve">   Объекты теплоснабжения могут эксплуатироваться до 2035 года и более при своевременном выполнении мероприятий предусмотренных актуализированной  схемой теплоснабжения города Пензы.
Режимы работы объектов, их тепловая мощность приводится в таблице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.
В таблице приведены значения существующей и перспективной тепловой мощности котельных нетто, то есть располагаемой мощности котельных с учетом затрат тепловой энергии на собственные нужды.
</t>
    </r>
  </si>
  <si>
    <t xml:space="preserve">9. Заключение о возможности, условиях (режимах) и сроках дальнейшей эксплуатации объектов системы теплоснабжения.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</si>
</sst>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\ _₽_-;\-* #,##0.000\ _₽_-;_-* &quot;-&quot;???\ _₽_-;_-@_-"/>
    <numFmt numFmtId="183" formatCode="_-* #,##0.0000\ _₽_-;\-* #,##0.0000\ _₽_-;_-* &quot;-&quot;??\ _₽_-;_-@_-"/>
    <numFmt numFmtId="184" formatCode="_-* #,##0\ _₽_-;\-* #,##0\ _₽_-;_-* &quot;-&quot;??\ _₽_-;_-@_-"/>
    <numFmt numFmtId="185" formatCode="_-* #,##0.000\ _₽_-;\-* #,##0.000\ _₽_-;_-* &quot;-&quot;??\ _₽_-;_-@_-"/>
    <numFmt numFmtId="186" formatCode="_-* #,##0.0000\ _₽_-;\-* #,##0.0000\ _₽_-;_-* &quot;-&quot;????\ _₽_-;_-@_-"/>
    <numFmt numFmtId="187" formatCode="0.00000000"/>
    <numFmt numFmtId="188" formatCode="0.0000000"/>
    <numFmt numFmtId="189" formatCode="_-* #,##0.00000\ _₽_-;\-* #,##0.00000\ _₽_-;_-* &quot;-&quot;??\ _₽_-;_-@_-"/>
  </numFmts>
  <fonts count="65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2"/>
    </font>
    <font>
      <b/>
      <sz val="11"/>
      <color theme="1"/>
      <name val="Arial Cyr"/>
      <family val="2"/>
    </font>
    <font>
      <b/>
      <sz val="12"/>
      <color theme="1"/>
      <name val="Arial Cyr"/>
      <family val="2"/>
    </font>
    <font>
      <sz val="8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2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Fill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9" fillId="0" borderId="20" xfId="6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0" borderId="26" xfId="0" applyFont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183" fontId="58" fillId="33" borderId="26" xfId="60" applyNumberFormat="1" applyFont="1" applyFill="1" applyBorder="1" applyAlignment="1">
      <alignment horizontal="center" vertical="center" wrapText="1"/>
    </xf>
    <xf numFmtId="184" fontId="58" fillId="33" borderId="26" xfId="60" applyNumberFormat="1" applyFont="1" applyFill="1" applyBorder="1" applyAlignment="1">
      <alignment horizontal="center" vertical="center" wrapText="1"/>
    </xf>
    <xf numFmtId="174" fontId="59" fillId="0" borderId="26" xfId="0" applyNumberFormat="1" applyFont="1" applyBorder="1" applyAlignment="1">
      <alignment horizontal="center" vertical="center" wrapText="1"/>
    </xf>
    <xf numFmtId="174" fontId="58" fillId="0" borderId="26" xfId="0" applyNumberFormat="1" applyFont="1" applyBorder="1" applyAlignment="1">
      <alignment horizontal="center" vertical="center" wrapText="1"/>
    </xf>
    <xf numFmtId="185" fontId="59" fillId="0" borderId="27" xfId="0" applyNumberFormat="1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183" fontId="59" fillId="0" borderId="2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57" fillId="33" borderId="27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8" fillId="0" borderId="29" xfId="0" applyFont="1" applyFill="1" applyBorder="1" applyAlignment="1">
      <alignment vertical="center" wrapText="1"/>
    </xf>
    <xf numFmtId="180" fontId="1" fillId="0" borderId="26" xfId="60" applyNumberFormat="1" applyBorder="1" applyAlignment="1">
      <alignment horizontal="center" vertical="center" wrapText="1"/>
    </xf>
    <xf numFmtId="180" fontId="1" fillId="0" borderId="29" xfId="60" applyNumberFormat="1" applyFill="1" applyBorder="1" applyAlignment="1">
      <alignment horizontal="center" vertical="center" wrapText="1"/>
    </xf>
    <xf numFmtId="181" fontId="1" fillId="33" borderId="26" xfId="60" applyNumberFormat="1" applyFont="1" applyFill="1" applyBorder="1" applyAlignment="1">
      <alignment horizontal="center"/>
    </xf>
    <xf numFmtId="181" fontId="1" fillId="33" borderId="30" xfId="60" applyNumberFormat="1" applyFont="1" applyFill="1" applyBorder="1" applyAlignment="1">
      <alignment horizontal="center"/>
    </xf>
    <xf numFmtId="181" fontId="1" fillId="33" borderId="31" xfId="60" applyNumberFormat="1" applyFont="1" applyFill="1" applyBorder="1" applyAlignment="1">
      <alignment horizontal="center"/>
    </xf>
    <xf numFmtId="181" fontId="1" fillId="33" borderId="32" xfId="60" applyNumberFormat="1" applyFont="1" applyFill="1" applyBorder="1" applyAlignment="1">
      <alignment horizontal="center"/>
    </xf>
    <xf numFmtId="181" fontId="1" fillId="33" borderId="33" xfId="60" applyNumberFormat="1" applyFont="1" applyFill="1" applyBorder="1" applyAlignment="1">
      <alignment horizontal="center"/>
    </xf>
    <xf numFmtId="181" fontId="1" fillId="33" borderId="34" xfId="60" applyNumberFormat="1" applyFont="1" applyFill="1" applyBorder="1" applyAlignment="1">
      <alignment horizontal="center"/>
    </xf>
    <xf numFmtId="181" fontId="1" fillId="33" borderId="35" xfId="60" applyNumberFormat="1" applyFont="1" applyFill="1" applyBorder="1" applyAlignment="1">
      <alignment horizontal="center"/>
    </xf>
    <xf numFmtId="171" fontId="1" fillId="34" borderId="26" xfId="60" applyFont="1" applyFill="1" applyBorder="1" applyAlignment="1">
      <alignment horizontal="center"/>
    </xf>
    <xf numFmtId="2" fontId="58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80" fontId="1" fillId="0" borderId="36" xfId="60" applyNumberFormat="1" applyBorder="1" applyAlignment="1">
      <alignment horizontal="center" vertical="center" wrapText="1"/>
    </xf>
    <xf numFmtId="184" fontId="58" fillId="33" borderId="36" xfId="60" applyNumberFormat="1" applyFont="1" applyFill="1" applyBorder="1" applyAlignment="1">
      <alignment horizontal="center" vertical="center" wrapText="1"/>
    </xf>
    <xf numFmtId="174" fontId="59" fillId="0" borderId="36" xfId="0" applyNumberFormat="1" applyFont="1" applyBorder="1" applyAlignment="1">
      <alignment horizontal="center" vertical="center" wrapText="1"/>
    </xf>
    <xf numFmtId="174" fontId="58" fillId="0" borderId="36" xfId="0" applyNumberFormat="1" applyFont="1" applyBorder="1" applyAlignment="1">
      <alignment horizontal="center" vertical="center" wrapText="1"/>
    </xf>
    <xf numFmtId="185" fontId="59" fillId="0" borderId="37" xfId="0" applyNumberFormat="1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2" fontId="58" fillId="0" borderId="36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/>
    </xf>
    <xf numFmtId="181" fontId="1" fillId="33" borderId="26" xfId="60" applyNumberForma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Fill="1" applyBorder="1" applyAlignment="1">
      <alignment/>
    </xf>
    <xf numFmtId="173" fontId="0" fillId="0" borderId="40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2" fontId="0" fillId="0" borderId="40" xfId="0" applyNumberFormat="1" applyFont="1" applyFill="1" applyBorder="1" applyAlignment="1">
      <alignment horizontal="center"/>
    </xf>
    <xf numFmtId="2" fontId="55" fillId="0" borderId="40" xfId="0" applyNumberFormat="1" applyFont="1" applyFill="1" applyBorder="1" applyAlignment="1">
      <alignment horizontal="center"/>
    </xf>
    <xf numFmtId="173" fontId="0" fillId="0" borderId="40" xfId="0" applyNumberFormat="1" applyFont="1" applyFill="1" applyBorder="1" applyAlignment="1">
      <alignment horizontal="center"/>
    </xf>
    <xf numFmtId="173" fontId="55" fillId="0" borderId="40" xfId="0" applyNumberFormat="1" applyFont="1" applyFill="1" applyBorder="1" applyAlignment="1">
      <alignment horizontal="center"/>
    </xf>
    <xf numFmtId="174" fontId="55" fillId="0" borderId="40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center" wrapText="1"/>
    </xf>
    <xf numFmtId="2" fontId="55" fillId="0" borderId="41" xfId="0" applyNumberFormat="1" applyFont="1" applyFill="1" applyBorder="1" applyAlignment="1">
      <alignment horizontal="center"/>
    </xf>
    <xf numFmtId="2" fontId="55" fillId="0" borderId="22" xfId="0" applyNumberFormat="1" applyFont="1" applyFill="1" applyBorder="1" applyAlignment="1">
      <alignment horizontal="center"/>
    </xf>
    <xf numFmtId="173" fontId="55" fillId="0" borderId="22" xfId="0" applyNumberFormat="1" applyFont="1" applyFill="1" applyBorder="1" applyAlignment="1">
      <alignment horizontal="center"/>
    </xf>
    <xf numFmtId="171" fontId="56" fillId="0" borderId="20" xfId="60" applyNumberFormat="1" applyFont="1" applyFill="1" applyBorder="1" applyAlignment="1">
      <alignment horizontal="center"/>
    </xf>
    <xf numFmtId="182" fontId="62" fillId="0" borderId="0" xfId="0" applyNumberFormat="1" applyFont="1" applyFill="1" applyBorder="1" applyAlignment="1">
      <alignment horizontal="center"/>
    </xf>
    <xf numFmtId="181" fontId="1" fillId="33" borderId="42" xfId="60" applyNumberFormat="1" applyFont="1" applyFill="1" applyBorder="1" applyAlignment="1">
      <alignment horizontal="center"/>
    </xf>
    <xf numFmtId="181" fontId="60" fillId="33" borderId="26" xfId="60" applyNumberFormat="1" applyFont="1" applyFill="1" applyBorder="1" applyAlignment="1">
      <alignment horizontal="center"/>
    </xf>
    <xf numFmtId="181" fontId="59" fillId="33" borderId="30" xfId="60" applyNumberFormat="1" applyFont="1" applyFill="1" applyBorder="1" applyAlignment="1">
      <alignment horizontal="center"/>
    </xf>
    <xf numFmtId="181" fontId="59" fillId="33" borderId="33" xfId="60" applyNumberFormat="1" applyFont="1" applyFill="1" applyBorder="1" applyAlignment="1">
      <alignment horizontal="center"/>
    </xf>
    <xf numFmtId="181" fontId="59" fillId="33" borderId="34" xfId="60" applyNumberFormat="1" applyFont="1" applyFill="1" applyBorder="1" applyAlignment="1">
      <alignment horizontal="center"/>
    </xf>
    <xf numFmtId="184" fontId="59" fillId="33" borderId="26" xfId="60" applyNumberFormat="1" applyFont="1" applyFill="1" applyBorder="1" applyAlignment="1">
      <alignment horizontal="center" vertical="center" wrapText="1"/>
    </xf>
    <xf numFmtId="174" fontId="1" fillId="0" borderId="26" xfId="0" applyNumberFormat="1" applyFont="1" applyBorder="1" applyAlignment="1">
      <alignment horizontal="center" vertical="center" wrapText="1"/>
    </xf>
    <xf numFmtId="174" fontId="1" fillId="0" borderId="36" xfId="0" applyNumberFormat="1" applyFont="1" applyBorder="1" applyAlignment="1">
      <alignment horizontal="center" vertical="center" wrapText="1"/>
    </xf>
    <xf numFmtId="174" fontId="1" fillId="0" borderId="43" xfId="0" applyNumberFormat="1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80" fontId="1" fillId="0" borderId="22" xfId="60" applyNumberFormat="1" applyFont="1" applyFill="1" applyBorder="1" applyAlignment="1">
      <alignment horizontal="center"/>
    </xf>
    <xf numFmtId="181" fontId="1" fillId="0" borderId="40" xfId="60" applyNumberFormat="1" applyFont="1" applyFill="1" applyBorder="1" applyAlignment="1">
      <alignment horizontal="center"/>
    </xf>
    <xf numFmtId="181" fontId="1" fillId="0" borderId="45" xfId="60" applyNumberFormat="1" applyFont="1" applyFill="1" applyBorder="1" applyAlignment="1">
      <alignment horizontal="center"/>
    </xf>
    <xf numFmtId="181" fontId="9" fillId="0" borderId="20" xfId="6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173" fontId="0" fillId="0" borderId="4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73" fontId="55" fillId="0" borderId="48" xfId="0" applyNumberFormat="1" applyFont="1" applyFill="1" applyBorder="1" applyAlignment="1">
      <alignment horizontal="center"/>
    </xf>
    <xf numFmtId="173" fontId="55" fillId="0" borderId="49" xfId="0" applyNumberFormat="1" applyFont="1" applyFill="1" applyBorder="1" applyAlignment="1">
      <alignment horizontal="center"/>
    </xf>
    <xf numFmtId="181" fontId="1" fillId="0" borderId="49" xfId="60" applyNumberFormat="1" applyFont="1" applyFill="1" applyBorder="1" applyAlignment="1">
      <alignment horizontal="center"/>
    </xf>
    <xf numFmtId="173" fontId="0" fillId="0" borderId="49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171" fontId="9" fillId="0" borderId="20" xfId="60" applyNumberFormat="1" applyFont="1" applyFill="1" applyBorder="1" applyAlignment="1">
      <alignment horizontal="center"/>
    </xf>
    <xf numFmtId="180" fontId="9" fillId="0" borderId="50" xfId="60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 horizontal="center" vertical="center" wrapText="1"/>
    </xf>
    <xf numFmtId="181" fontId="1" fillId="0" borderId="22" xfId="60" applyNumberFormat="1" applyFont="1" applyFill="1" applyBorder="1" applyAlignment="1">
      <alignment horizontal="center"/>
    </xf>
    <xf numFmtId="180" fontId="1" fillId="0" borderId="25" xfId="60" applyNumberFormat="1" applyFont="1" applyFill="1" applyBorder="1" applyAlignment="1">
      <alignment horizontal="center"/>
    </xf>
    <xf numFmtId="180" fontId="1" fillId="0" borderId="48" xfId="6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view="pageBreakPreview" zoomScaleSheetLayoutView="100" zoomScalePageLayoutView="0" workbookViewId="0" topLeftCell="A2">
      <selection activeCell="B40" sqref="B40"/>
    </sheetView>
  </sheetViews>
  <sheetFormatPr defaultColWidth="9.00390625" defaultRowHeight="12.75"/>
  <cols>
    <col min="1" max="1" width="13.50390625" style="1" customWidth="1"/>
    <col min="2" max="2" width="16.50390625" style="1" customWidth="1"/>
  </cols>
  <sheetData>
    <row r="2" spans="1:2" ht="39">
      <c r="A2" s="2" t="s">
        <v>0</v>
      </c>
      <c r="B2" s="3" t="s">
        <v>1</v>
      </c>
    </row>
    <row r="3" spans="1:2" ht="12.75">
      <c r="A3" s="4">
        <v>60</v>
      </c>
      <c r="B3" s="5">
        <v>238.1</v>
      </c>
    </row>
    <row r="4" spans="1:2" ht="12.75">
      <c r="A4" s="6">
        <v>62</v>
      </c>
      <c r="B4" s="7">
        <v>230.41</v>
      </c>
    </row>
    <row r="5" spans="1:2" ht="12.75">
      <c r="A5" s="6">
        <v>64</v>
      </c>
      <c r="B5" s="7">
        <v>223.21</v>
      </c>
    </row>
    <row r="6" spans="1:2" ht="12.75">
      <c r="A6" s="6">
        <v>66</v>
      </c>
      <c r="B6" s="7">
        <v>216.45</v>
      </c>
    </row>
    <row r="7" spans="1:2" ht="12.75">
      <c r="A7" s="6">
        <v>68</v>
      </c>
      <c r="B7" s="7">
        <v>210.08</v>
      </c>
    </row>
    <row r="8" spans="1:2" ht="12.75">
      <c r="A8" s="6">
        <v>70</v>
      </c>
      <c r="B8" s="7">
        <v>204.08</v>
      </c>
    </row>
    <row r="9" spans="1:2" ht="12.75">
      <c r="A9" s="6">
        <v>72</v>
      </c>
      <c r="B9" s="7">
        <v>198.41</v>
      </c>
    </row>
    <row r="10" spans="1:2" ht="12.75">
      <c r="A10" s="6">
        <v>74</v>
      </c>
      <c r="B10" s="7">
        <v>193.05</v>
      </c>
    </row>
    <row r="11" spans="1:2" ht="12.75">
      <c r="A11" s="6">
        <v>76</v>
      </c>
      <c r="B11" s="7">
        <v>187.97</v>
      </c>
    </row>
    <row r="12" spans="1:2" ht="12.75">
      <c r="A12" s="6">
        <v>78</v>
      </c>
      <c r="B12" s="7">
        <v>183.15</v>
      </c>
    </row>
    <row r="13" spans="1:2" ht="12.75">
      <c r="A13" s="6">
        <v>80</v>
      </c>
      <c r="B13" s="7">
        <v>178.57</v>
      </c>
    </row>
    <row r="14" spans="1:2" ht="12.75">
      <c r="A14" s="8">
        <v>81</v>
      </c>
      <c r="B14" s="9">
        <f>B13-((A14-A13)*(B13-B15)/(A15-A13))</f>
        <v>176.39499999999998</v>
      </c>
    </row>
    <row r="15" spans="1:2" ht="12.75">
      <c r="A15" s="6">
        <v>82</v>
      </c>
      <c r="B15" s="7">
        <v>174.22</v>
      </c>
    </row>
    <row r="16" spans="1:2" ht="12.75">
      <c r="A16" s="8">
        <v>82.5</v>
      </c>
      <c r="B16" s="9">
        <f>B15-((A16-A15)*(B15-B18)/(A18-A15))</f>
        <v>173.1825</v>
      </c>
    </row>
    <row r="17" spans="1:2" ht="12.75">
      <c r="A17" s="10">
        <v>83.75</v>
      </c>
      <c r="B17" s="9">
        <f>B15-((A17-A15)*(B15-B18)/(A18-A15))</f>
        <v>170.58875</v>
      </c>
    </row>
    <row r="18" spans="1:2" ht="12.75">
      <c r="A18" s="6">
        <v>84</v>
      </c>
      <c r="B18" s="7">
        <v>170.07</v>
      </c>
    </row>
    <row r="19" spans="1:2" ht="12.75">
      <c r="A19" s="8">
        <v>85</v>
      </c>
      <c r="B19" s="9">
        <f>B18-((A19-A18)*(B18-B20)/(A20-A18))</f>
        <v>168.09</v>
      </c>
    </row>
    <row r="20" spans="1:2" ht="12.75">
      <c r="A20" s="6">
        <v>86</v>
      </c>
      <c r="B20" s="7">
        <v>166.11</v>
      </c>
    </row>
    <row r="21" spans="1:2" ht="12.75">
      <c r="A21" s="8">
        <v>86.1</v>
      </c>
      <c r="B21" s="9">
        <f>B19-((A21-A19)*(B19-B24)/(A24-A19))</f>
        <v>165.98166666666668</v>
      </c>
    </row>
    <row r="22" spans="1:2" ht="12.75">
      <c r="A22" s="8">
        <v>86.5</v>
      </c>
      <c r="B22" s="9">
        <f>B20-((A22-A20)*(B20-B24)/(A24-A20))</f>
        <v>165.16750000000002</v>
      </c>
    </row>
    <row r="23" spans="1:2" ht="12.75">
      <c r="A23" s="8">
        <v>87</v>
      </c>
      <c r="B23" s="9">
        <f>B20-((A23-A20)*(B20-B24)/(A24-A20))</f>
        <v>164.22500000000002</v>
      </c>
    </row>
    <row r="24" spans="1:2" ht="12.75">
      <c r="A24" s="6">
        <v>88</v>
      </c>
      <c r="B24" s="7">
        <v>162.34</v>
      </c>
    </row>
    <row r="25" spans="1:2" ht="12.75">
      <c r="A25" s="8">
        <v>89</v>
      </c>
      <c r="B25" s="9">
        <f>B24-((A25-A24)*(B24-B29)/(A29-A24))</f>
        <v>160.535</v>
      </c>
    </row>
    <row r="26" spans="1:2" ht="12.75">
      <c r="A26" s="8">
        <v>89.1</v>
      </c>
      <c r="B26" s="9">
        <f>B24-((A26-A24)*(B24-B29)/(A29-A24))</f>
        <v>160.3545</v>
      </c>
    </row>
    <row r="27" spans="1:2" ht="12.75">
      <c r="A27" s="8">
        <v>89.5</v>
      </c>
      <c r="B27" s="9">
        <f>B24-((A27-A24)*(B24-B29)/(A29-A24))</f>
        <v>159.6325</v>
      </c>
    </row>
    <row r="28" spans="1:2" ht="12.75">
      <c r="A28" s="11">
        <v>89.575</v>
      </c>
      <c r="B28" s="9">
        <f>B24-((A28-A24)*(B24-B29)/(A29-A24))</f>
        <v>159.49712499999998</v>
      </c>
    </row>
    <row r="29" spans="1:2" ht="12.75">
      <c r="A29" s="6">
        <v>90</v>
      </c>
      <c r="B29" s="7">
        <v>158.73</v>
      </c>
    </row>
    <row r="30" spans="1:2" ht="12.75">
      <c r="A30" s="21">
        <v>90.2</v>
      </c>
      <c r="B30" s="9">
        <f>$B$29-((A30-$A$29)*($B$29-$B$40)/($A$40-$A$29))</f>
        <v>158.385</v>
      </c>
    </row>
    <row r="31" spans="1:2" ht="12.75">
      <c r="A31" s="8">
        <v>90.3</v>
      </c>
      <c r="B31" s="9">
        <f>$B$29-((A31-$A$29)*($B$29-$B$40)/($A$40-$A$29))</f>
        <v>158.2125</v>
      </c>
    </row>
    <row r="32" spans="1:2" ht="12.75">
      <c r="A32" s="8">
        <v>90.4</v>
      </c>
      <c r="B32" s="9">
        <f>$B$29-((A32-$A$29)*($B$29-$B$40)/($A$40-$A$29))</f>
        <v>158.04</v>
      </c>
    </row>
    <row r="33" spans="1:2" ht="12.75">
      <c r="A33" s="8">
        <v>90.86</v>
      </c>
      <c r="B33" s="9">
        <f aca="true" t="shared" si="0" ref="B33:B39">$B$29-((A33-$A$29)*($B$29-$B$40)/($A$40-$A$29))</f>
        <v>157.2465</v>
      </c>
    </row>
    <row r="34" spans="1:2" ht="12.75">
      <c r="A34" s="8">
        <v>91</v>
      </c>
      <c r="B34" s="9">
        <f t="shared" si="0"/>
        <v>157.005</v>
      </c>
    </row>
    <row r="35" spans="1:2" ht="12.75">
      <c r="A35" s="8">
        <v>91.2</v>
      </c>
      <c r="B35" s="9">
        <f t="shared" si="0"/>
        <v>156.66</v>
      </c>
    </row>
    <row r="36" spans="1:2" ht="12.75">
      <c r="A36" s="11">
        <v>91.266667</v>
      </c>
      <c r="B36" s="9">
        <f t="shared" si="0"/>
        <v>156.544999425</v>
      </c>
    </row>
    <row r="37" spans="1:2" ht="12.75">
      <c r="A37" s="8">
        <v>91.4</v>
      </c>
      <c r="B37" s="9">
        <f t="shared" si="0"/>
        <v>156.315</v>
      </c>
    </row>
    <row r="38" spans="1:2" ht="12.75">
      <c r="A38" s="8">
        <v>91.6</v>
      </c>
      <c r="B38" s="9">
        <f t="shared" si="0"/>
        <v>155.97</v>
      </c>
    </row>
    <row r="39" spans="1:2" ht="12.75">
      <c r="A39" s="8">
        <v>91.9</v>
      </c>
      <c r="B39" s="9">
        <f t="shared" si="0"/>
        <v>155.4525</v>
      </c>
    </row>
    <row r="40" spans="1:2" ht="12.75">
      <c r="A40" s="6">
        <v>92</v>
      </c>
      <c r="B40" s="7">
        <v>155.28</v>
      </c>
    </row>
    <row r="41" spans="1:2" ht="12.75">
      <c r="A41" s="8">
        <v>93</v>
      </c>
      <c r="B41" s="9">
        <f>B40-((A41-A40)*(B40-B42)/(A42-A40))</f>
        <v>153.62</v>
      </c>
    </row>
    <row r="42" spans="1:2" ht="12.75">
      <c r="A42" s="6">
        <v>94</v>
      </c>
      <c r="B42" s="7">
        <v>151.96</v>
      </c>
    </row>
    <row r="43" spans="1:2" ht="12.75">
      <c r="A43" s="12">
        <v>95</v>
      </c>
      <c r="B43" s="13">
        <v>150.38</v>
      </c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136" zoomScaleSheetLayoutView="136" zoomScalePageLayoutView="0" workbookViewId="0" topLeftCell="A1">
      <selection activeCell="J3" sqref="J3"/>
    </sheetView>
  </sheetViews>
  <sheetFormatPr defaultColWidth="9.00390625" defaultRowHeight="12.75"/>
  <cols>
    <col min="1" max="1" width="1.625" style="0" customWidth="1"/>
    <col min="2" max="2" width="3.625" style="0" customWidth="1"/>
    <col min="3" max="3" width="27.625" style="26" customWidth="1"/>
    <col min="4" max="4" width="15.00390625" style="102" customWidth="1"/>
    <col min="5" max="5" width="15.625" style="41" customWidth="1"/>
    <col min="6" max="8" width="12.625" style="16" customWidth="1"/>
    <col min="9" max="9" width="12.625" style="41" customWidth="1"/>
    <col min="10" max="10" width="10.375" style="0" customWidth="1"/>
    <col min="11" max="11" width="1.12109375" style="0" customWidth="1"/>
    <col min="12" max="12" width="9.125" style="15" customWidth="1"/>
  </cols>
  <sheetData>
    <row r="1" ht="12.75">
      <c r="B1" s="16"/>
    </row>
    <row r="2" spans="2:9" ht="30" customHeight="1">
      <c r="B2" s="149" t="s">
        <v>67</v>
      </c>
      <c r="C2" s="150"/>
      <c r="D2" s="150"/>
      <c r="E2" s="150"/>
      <c r="F2" s="150"/>
      <c r="G2" s="150"/>
      <c r="H2" s="150"/>
      <c r="I2" s="150"/>
    </row>
    <row r="3" spans="2:9" ht="90" customHeight="1">
      <c r="B3" s="151" t="s">
        <v>66</v>
      </c>
      <c r="C3" s="152"/>
      <c r="D3" s="152"/>
      <c r="E3" s="152"/>
      <c r="F3" s="152"/>
      <c r="G3" s="152"/>
      <c r="H3" s="152"/>
      <c r="I3" s="152"/>
    </row>
    <row r="4" ht="12.75">
      <c r="B4" s="16"/>
    </row>
    <row r="5" spans="2:9" ht="30" customHeight="1">
      <c r="B5" s="153" t="s">
        <v>65</v>
      </c>
      <c r="C5" s="153"/>
      <c r="D5" s="153"/>
      <c r="E5" s="153"/>
      <c r="F5" s="153"/>
      <c r="G5" s="153"/>
      <c r="H5" s="153"/>
      <c r="I5" s="153"/>
    </row>
    <row r="6" ht="13.5" thickBot="1">
      <c r="B6" s="16"/>
    </row>
    <row r="7" spans="2:12" s="27" customFormat="1" ht="105" customHeight="1" thickBot="1">
      <c r="B7" s="39" t="s">
        <v>21</v>
      </c>
      <c r="C7" s="40" t="s">
        <v>20</v>
      </c>
      <c r="D7" s="112" t="s">
        <v>29</v>
      </c>
      <c r="E7" s="53" t="s">
        <v>30</v>
      </c>
      <c r="F7" s="54" t="s">
        <v>31</v>
      </c>
      <c r="G7" s="54" t="s">
        <v>32</v>
      </c>
      <c r="H7" s="54" t="s">
        <v>33</v>
      </c>
      <c r="I7" s="54" t="s">
        <v>34</v>
      </c>
      <c r="L7" s="28"/>
    </row>
    <row r="8" spans="2:12" s="22" customFormat="1" ht="10.5" thickBot="1">
      <c r="B8" s="134">
        <v>1</v>
      </c>
      <c r="C8" s="135">
        <v>2</v>
      </c>
      <c r="D8" s="136">
        <v>3</v>
      </c>
      <c r="E8" s="135">
        <v>4</v>
      </c>
      <c r="F8" s="127">
        <v>5</v>
      </c>
      <c r="G8" s="135">
        <v>6</v>
      </c>
      <c r="H8" s="135">
        <v>7</v>
      </c>
      <c r="I8" s="137">
        <v>8</v>
      </c>
      <c r="L8" s="23"/>
    </row>
    <row r="9" spans="2:12" ht="12.75">
      <c r="B9" s="98">
        <v>1</v>
      </c>
      <c r="C9" s="49" t="s">
        <v>11</v>
      </c>
      <c r="D9" s="113">
        <v>0.401</v>
      </c>
      <c r="E9" s="132">
        <f>D9</f>
        <v>0.401</v>
      </c>
      <c r="F9" s="126">
        <v>0.001</v>
      </c>
      <c r="G9" s="147">
        <f>11.07/200/24</f>
        <v>0.00230625</v>
      </c>
      <c r="H9" s="130">
        <v>0.3148</v>
      </c>
      <c r="I9" s="133">
        <f>E9-F9-G9-H9</f>
        <v>0.08289374999999999</v>
      </c>
      <c r="J9" s="17"/>
      <c r="L9" s="18"/>
    </row>
    <row r="10" spans="2:12" ht="12.75">
      <c r="B10" s="44">
        <f>B9+1</f>
        <v>2</v>
      </c>
      <c r="C10" s="46" t="s">
        <v>23</v>
      </c>
      <c r="D10" s="114">
        <v>0.8</v>
      </c>
      <c r="E10" s="107">
        <f aca="true" t="shared" si="0" ref="E10:E23">D10</f>
        <v>0.8</v>
      </c>
      <c r="F10" s="124">
        <v>0.001</v>
      </c>
      <c r="G10" s="128">
        <v>0</v>
      </c>
      <c r="H10" s="129">
        <v>0.4911</v>
      </c>
      <c r="I10" s="101">
        <f aca="true" t="shared" si="1" ref="I10:I23">E10-F10-G10-H10</f>
        <v>0.30790000000000006</v>
      </c>
      <c r="J10" s="17"/>
      <c r="L10" s="18"/>
    </row>
    <row r="11" spans="2:12" ht="12.75">
      <c r="B11" s="44">
        <f aca="true" t="shared" si="2" ref="B11:B22">B10+1</f>
        <v>3</v>
      </c>
      <c r="C11" s="45" t="s">
        <v>4</v>
      </c>
      <c r="D11" s="113">
        <v>4.44</v>
      </c>
      <c r="E11" s="107">
        <f t="shared" si="0"/>
        <v>4.44</v>
      </c>
      <c r="F11" s="124">
        <v>0.0171</v>
      </c>
      <c r="G11" s="128">
        <v>0.07077700854700854</v>
      </c>
      <c r="H11" s="129">
        <v>3.0661</v>
      </c>
      <c r="I11" s="101">
        <f t="shared" si="1"/>
        <v>1.2860229914529913</v>
      </c>
      <c r="J11" s="17"/>
      <c r="L11" s="18"/>
    </row>
    <row r="12" spans="2:12" ht="12.75">
      <c r="B12" s="99">
        <f t="shared" si="2"/>
        <v>4</v>
      </c>
      <c r="C12" s="100" t="s">
        <v>22</v>
      </c>
      <c r="D12" s="108">
        <v>1.7</v>
      </c>
      <c r="E12" s="107">
        <f t="shared" si="0"/>
        <v>1.7</v>
      </c>
      <c r="F12" s="124">
        <v>0.0065</v>
      </c>
      <c r="G12" s="128">
        <f>269.23/200/24</f>
        <v>0.05608958333333334</v>
      </c>
      <c r="H12" s="129">
        <v>1.5073</v>
      </c>
      <c r="I12" s="101">
        <f t="shared" si="1"/>
        <v>0.13011041666666667</v>
      </c>
      <c r="J12" s="17"/>
      <c r="L12" s="18"/>
    </row>
    <row r="13" spans="2:12" s="37" customFormat="1" ht="12.75">
      <c r="B13" s="99">
        <f t="shared" si="2"/>
        <v>5</v>
      </c>
      <c r="C13" s="47" t="s">
        <v>3</v>
      </c>
      <c r="D13" s="113">
        <f>106.5+6.5</f>
        <v>113</v>
      </c>
      <c r="E13" s="107">
        <f t="shared" si="0"/>
        <v>113</v>
      </c>
      <c r="F13" s="124">
        <v>0.105</v>
      </c>
      <c r="G13" s="128">
        <f>8604.99/200/24+4547.94/351/24</f>
        <v>2.3325851673789173</v>
      </c>
      <c r="H13" s="129">
        <v>79.9333</v>
      </c>
      <c r="I13" s="101">
        <f t="shared" si="1"/>
        <v>30.62911483262107</v>
      </c>
      <c r="J13" s="36"/>
      <c r="L13" s="38"/>
    </row>
    <row r="14" spans="2:12" ht="12.75">
      <c r="B14" s="99">
        <f t="shared" si="2"/>
        <v>6</v>
      </c>
      <c r="C14" s="45" t="s">
        <v>9</v>
      </c>
      <c r="D14" s="115">
        <v>0.086</v>
      </c>
      <c r="E14" s="109">
        <f t="shared" si="0"/>
        <v>0.086</v>
      </c>
      <c r="F14" s="124">
        <v>0.0007</v>
      </c>
      <c r="G14" s="146">
        <f>1.69/351/24</f>
        <v>0.00020061728395061727</v>
      </c>
      <c r="H14" s="129">
        <v>0.1998</v>
      </c>
      <c r="I14" s="101">
        <f t="shared" si="1"/>
        <v>-0.11470061728395063</v>
      </c>
      <c r="J14" s="17"/>
      <c r="L14" s="18"/>
    </row>
    <row r="15" spans="2:12" ht="12.75">
      <c r="B15" s="99">
        <f t="shared" si="2"/>
        <v>7</v>
      </c>
      <c r="C15" s="100" t="s">
        <v>18</v>
      </c>
      <c r="D15" s="115">
        <v>0.172</v>
      </c>
      <c r="E15" s="109">
        <f t="shared" si="0"/>
        <v>0.172</v>
      </c>
      <c r="F15" s="124">
        <f>1.2277/200/24</f>
        <v>0.00025577083333333333</v>
      </c>
      <c r="G15" s="128">
        <f>5.59/200/24</f>
        <v>0.0011645833333333332</v>
      </c>
      <c r="H15" s="129">
        <v>0.0664</v>
      </c>
      <c r="I15" s="101">
        <f t="shared" si="1"/>
        <v>0.10417964583333332</v>
      </c>
      <c r="J15" s="17"/>
      <c r="L15" s="145"/>
    </row>
    <row r="16" spans="2:12" ht="12.75">
      <c r="B16" s="99">
        <f t="shared" si="2"/>
        <v>8</v>
      </c>
      <c r="C16" s="50" t="s">
        <v>25</v>
      </c>
      <c r="D16" s="114">
        <v>0.5</v>
      </c>
      <c r="E16" s="107">
        <f t="shared" si="0"/>
        <v>0.5</v>
      </c>
      <c r="F16" s="124">
        <f>1.4037/200/24</f>
        <v>0.0002924375</v>
      </c>
      <c r="G16" s="147">
        <f>116.3/200/24</f>
        <v>0.024229166666666666</v>
      </c>
      <c r="H16" s="130">
        <v>0.2004</v>
      </c>
      <c r="I16" s="101">
        <f t="shared" si="1"/>
        <v>0.27507839583333327</v>
      </c>
      <c r="J16" s="17"/>
      <c r="L16" s="18"/>
    </row>
    <row r="17" spans="2:12" ht="12.75">
      <c r="B17" s="99">
        <f t="shared" si="2"/>
        <v>9</v>
      </c>
      <c r="C17" s="45" t="s">
        <v>10</v>
      </c>
      <c r="D17" s="114">
        <v>1.08</v>
      </c>
      <c r="E17" s="107">
        <f t="shared" si="0"/>
        <v>1.08</v>
      </c>
      <c r="F17" s="124">
        <f>2.839/200/24</f>
        <v>0.0005914583333333333</v>
      </c>
      <c r="G17" s="128">
        <f>308.8/200/24</f>
        <v>0.06433333333333334</v>
      </c>
      <c r="H17" s="129">
        <v>0.7184</v>
      </c>
      <c r="I17" s="101">
        <f t="shared" si="1"/>
        <v>0.2966752083333334</v>
      </c>
      <c r="J17" s="17"/>
      <c r="L17" s="18"/>
    </row>
    <row r="18" spans="2:12" ht="12.75">
      <c r="B18" s="44">
        <f t="shared" si="2"/>
        <v>10</v>
      </c>
      <c r="C18" s="45" t="s">
        <v>12</v>
      </c>
      <c r="D18" s="114">
        <v>0.877</v>
      </c>
      <c r="E18" s="107">
        <f t="shared" si="0"/>
        <v>0.877</v>
      </c>
      <c r="F18" s="124">
        <v>0.0002</v>
      </c>
      <c r="G18" s="128">
        <f>12.21/200/24+9.87/351/24</f>
        <v>0.0037154024216524218</v>
      </c>
      <c r="H18" s="129">
        <v>0.8356</v>
      </c>
      <c r="I18" s="101">
        <f t="shared" si="1"/>
        <v>0.037484597578347545</v>
      </c>
      <c r="J18" s="17"/>
      <c r="L18" s="18"/>
    </row>
    <row r="19" spans="2:12" ht="12.75">
      <c r="B19" s="44">
        <f t="shared" si="2"/>
        <v>11</v>
      </c>
      <c r="C19" s="51" t="s">
        <v>28</v>
      </c>
      <c r="D19" s="114">
        <v>1.4</v>
      </c>
      <c r="E19" s="107">
        <f t="shared" si="0"/>
        <v>1.4</v>
      </c>
      <c r="F19" s="125">
        <v>0.0183</v>
      </c>
      <c r="G19" s="128">
        <v>0</v>
      </c>
      <c r="H19" s="129">
        <v>0.4123</v>
      </c>
      <c r="I19" s="101">
        <f t="shared" si="1"/>
        <v>0.9693999999999999</v>
      </c>
      <c r="J19" s="17"/>
      <c r="L19" s="18"/>
    </row>
    <row r="20" spans="2:12" ht="12.75">
      <c r="B20" s="44">
        <f t="shared" si="2"/>
        <v>12</v>
      </c>
      <c r="C20" s="45" t="s">
        <v>15</v>
      </c>
      <c r="D20" s="114">
        <v>0.4085</v>
      </c>
      <c r="E20" s="111">
        <f t="shared" si="0"/>
        <v>0.4085</v>
      </c>
      <c r="F20" s="124">
        <v>0.0002</v>
      </c>
      <c r="G20" s="128">
        <v>0.009189583333333333</v>
      </c>
      <c r="H20" s="129">
        <v>0.2887</v>
      </c>
      <c r="I20" s="101">
        <f t="shared" si="1"/>
        <v>0.11041041666666668</v>
      </c>
      <c r="J20" s="17"/>
      <c r="L20" s="18"/>
    </row>
    <row r="21" spans="2:12" ht="12.75">
      <c r="B21" s="44">
        <f t="shared" si="2"/>
        <v>13</v>
      </c>
      <c r="C21" s="45" t="s">
        <v>17</v>
      </c>
      <c r="D21" s="115">
        <v>0.328</v>
      </c>
      <c r="E21" s="110">
        <f t="shared" si="0"/>
        <v>0.328</v>
      </c>
      <c r="F21" s="124">
        <v>0.0003</v>
      </c>
      <c r="G21" s="128">
        <f>10.89/200/24</f>
        <v>0.0022687500000000004</v>
      </c>
      <c r="H21" s="129">
        <v>0.243</v>
      </c>
      <c r="I21" s="101">
        <f t="shared" si="1"/>
        <v>0.08243125000000001</v>
      </c>
      <c r="J21" s="17"/>
      <c r="L21" s="18"/>
    </row>
    <row r="22" spans="2:12" ht="12.75">
      <c r="B22" s="44">
        <f t="shared" si="2"/>
        <v>14</v>
      </c>
      <c r="C22" s="49" t="s">
        <v>2</v>
      </c>
      <c r="D22" s="114">
        <f>120+6.5</f>
        <v>126.5</v>
      </c>
      <c r="E22" s="108">
        <f t="shared" si="0"/>
        <v>126.5</v>
      </c>
      <c r="F22" s="124">
        <v>0.0593</v>
      </c>
      <c r="G22" s="128">
        <f>(22405.11+1362.48+107.89+188.65+757.48+153.88+768.99)/200/24+(377.38+61.16+174.22+918.78+533.01+634.76)/351/24</f>
        <v>5.683864245014246</v>
      </c>
      <c r="H22" s="129">
        <v>79.679</v>
      </c>
      <c r="I22" s="101">
        <f t="shared" si="1"/>
        <v>41.077835754985756</v>
      </c>
      <c r="J22" s="17"/>
      <c r="L22" s="18"/>
    </row>
    <row r="23" spans="2:12" ht="13.5" thickBot="1">
      <c r="B23" s="44">
        <f>B22+1</f>
        <v>15</v>
      </c>
      <c r="C23" s="48" t="s">
        <v>27</v>
      </c>
      <c r="D23" s="138">
        <v>0.171</v>
      </c>
      <c r="E23" s="139">
        <f t="shared" si="0"/>
        <v>0.171</v>
      </c>
      <c r="F23" s="125">
        <v>0.0001</v>
      </c>
      <c r="G23" s="148">
        <f>19.35/200/24</f>
        <v>0.00403125</v>
      </c>
      <c r="H23" s="140">
        <v>0.0722</v>
      </c>
      <c r="I23" s="141">
        <f t="shared" si="1"/>
        <v>0.09466875000000001</v>
      </c>
      <c r="J23" s="17"/>
      <c r="L23" s="18"/>
    </row>
    <row r="24" spans="2:12" s="24" customFormat="1" ht="13.5" thickBot="1">
      <c r="B24" s="25" t="s">
        <v>19</v>
      </c>
      <c r="C24" s="142"/>
      <c r="D24" s="116">
        <f>SUM(D9:D23)</f>
        <v>251.8635</v>
      </c>
      <c r="E24" s="143">
        <f>SUM(E9:E23)</f>
        <v>251.8635</v>
      </c>
      <c r="F24" s="43">
        <f>SUM(F9:F23)</f>
        <v>0.21083966666666665</v>
      </c>
      <c r="G24" s="43">
        <f>SUM(G9:G23)</f>
        <v>8.254754940645775</v>
      </c>
      <c r="H24" s="131">
        <f>SUM(H9:H23)</f>
        <v>168.02840000000003</v>
      </c>
      <c r="I24" s="144"/>
      <c r="J24" s="32"/>
      <c r="L24" s="33"/>
    </row>
    <row r="25" spans="2:12" s="29" customFormat="1" ht="12.75">
      <c r="B25" s="19"/>
      <c r="C25" s="34"/>
      <c r="D25" s="103"/>
      <c r="E25" s="42"/>
      <c r="F25" s="42"/>
      <c r="G25" s="42"/>
      <c r="H25" s="42"/>
      <c r="I25" s="42"/>
      <c r="J25" s="30"/>
      <c r="L25" s="31"/>
    </row>
    <row r="26" spans="1:10" ht="14.25" customHeight="1">
      <c r="A26" s="106"/>
      <c r="B26" s="151"/>
      <c r="C26" s="151"/>
      <c r="D26" s="151"/>
      <c r="E26" s="151"/>
      <c r="F26" s="151"/>
      <c r="G26" s="151"/>
      <c r="H26" s="151"/>
      <c r="I26" s="151"/>
      <c r="J26" s="20"/>
    </row>
    <row r="27" spans="1:10" ht="13.5">
      <c r="A27" s="52"/>
      <c r="B27" s="52"/>
      <c r="C27" s="52"/>
      <c r="D27" s="104"/>
      <c r="E27" s="52"/>
      <c r="F27" s="52"/>
      <c r="G27" s="52"/>
      <c r="H27" s="52"/>
      <c r="I27" s="52"/>
      <c r="J27" s="20"/>
    </row>
    <row r="28" spans="1:10" ht="13.5">
      <c r="A28" s="52"/>
      <c r="B28" s="52"/>
      <c r="C28" s="52"/>
      <c r="D28" s="104"/>
      <c r="E28" s="52"/>
      <c r="F28" s="52"/>
      <c r="G28" s="52"/>
      <c r="H28" s="52"/>
      <c r="I28" s="52"/>
      <c r="J28" s="20"/>
    </row>
    <row r="29" spans="1:10" ht="13.5">
      <c r="A29" s="52"/>
      <c r="B29" s="52"/>
      <c r="C29" s="52"/>
      <c r="D29" s="104"/>
      <c r="E29" s="52"/>
      <c r="F29" s="52"/>
      <c r="G29" s="52"/>
      <c r="H29" s="52"/>
      <c r="I29" s="52"/>
      <c r="J29" s="20"/>
    </row>
    <row r="30" spans="1:10" ht="13.5">
      <c r="A30" s="52"/>
      <c r="B30" s="52"/>
      <c r="C30" s="52"/>
      <c r="D30" s="104"/>
      <c r="E30" s="52"/>
      <c r="F30" s="52"/>
      <c r="G30" s="52"/>
      <c r="H30" s="52"/>
      <c r="I30" s="52"/>
      <c r="J30" s="20"/>
    </row>
    <row r="31" spans="1:10" ht="13.5">
      <c r="A31" s="52"/>
      <c r="B31" s="52"/>
      <c r="C31" s="52"/>
      <c r="D31" s="104"/>
      <c r="E31" s="52"/>
      <c r="F31" s="52"/>
      <c r="G31" s="52"/>
      <c r="H31" s="52"/>
      <c r="I31" s="52"/>
      <c r="J31" s="20"/>
    </row>
    <row r="32" spans="1:10" ht="13.5">
      <c r="A32" s="52"/>
      <c r="B32" s="52"/>
      <c r="C32" s="52"/>
      <c r="D32" s="104"/>
      <c r="E32" s="52"/>
      <c r="F32" s="52"/>
      <c r="G32" s="52"/>
      <c r="H32" s="52"/>
      <c r="I32" s="52"/>
      <c r="J32" s="20"/>
    </row>
    <row r="33" spans="1:10" ht="13.5">
      <c r="A33" s="52"/>
      <c r="B33" s="52"/>
      <c r="C33" s="52"/>
      <c r="D33" s="117"/>
      <c r="E33" s="52"/>
      <c r="F33" s="52"/>
      <c r="G33" s="52"/>
      <c r="H33" s="52"/>
      <c r="I33" s="52"/>
      <c r="J33" s="20"/>
    </row>
    <row r="34" spans="1:10" ht="15">
      <c r="A34" s="35"/>
      <c r="B34" s="35"/>
      <c r="C34" s="35"/>
      <c r="D34" s="105"/>
      <c r="E34" s="35"/>
      <c r="F34" s="35"/>
      <c r="G34" s="35"/>
      <c r="H34" s="35"/>
      <c r="I34" s="35"/>
      <c r="J34" s="20"/>
    </row>
    <row r="35" spans="1:10" ht="15">
      <c r="A35" s="35"/>
      <c r="B35" s="35"/>
      <c r="C35" s="35"/>
      <c r="D35" s="105"/>
      <c r="E35" s="35"/>
      <c r="F35" s="35"/>
      <c r="G35" s="35"/>
      <c r="H35" s="35"/>
      <c r="I35" s="35"/>
      <c r="J35" s="20"/>
    </row>
    <row r="36" spans="1:10" ht="15">
      <c r="A36" s="35"/>
      <c r="B36" s="35"/>
      <c r="C36" s="35"/>
      <c r="D36" s="105"/>
      <c r="E36" s="35"/>
      <c r="F36" s="35"/>
      <c r="G36" s="35"/>
      <c r="H36" s="35"/>
      <c r="I36" s="35"/>
      <c r="J36" s="20"/>
    </row>
    <row r="37" spans="1:10" ht="15">
      <c r="A37" s="35"/>
      <c r="B37" s="35"/>
      <c r="C37" s="35"/>
      <c r="D37" s="105"/>
      <c r="E37" s="35"/>
      <c r="F37" s="35"/>
      <c r="G37" s="35"/>
      <c r="H37" s="35"/>
      <c r="I37" s="35"/>
      <c r="J37" s="20"/>
    </row>
    <row r="38" spans="1:10" ht="15">
      <c r="A38" s="35"/>
      <c r="B38" s="35"/>
      <c r="C38" s="35"/>
      <c r="D38" s="105"/>
      <c r="E38" s="35"/>
      <c r="F38" s="35"/>
      <c r="G38" s="35"/>
      <c r="H38" s="35"/>
      <c r="I38" s="35"/>
      <c r="J38" s="20"/>
    </row>
    <row r="39" spans="1:10" ht="15">
      <c r="A39" s="35"/>
      <c r="B39" s="35"/>
      <c r="C39" s="35"/>
      <c r="D39" s="105"/>
      <c r="E39" s="35"/>
      <c r="F39" s="35"/>
      <c r="G39" s="35"/>
      <c r="H39" s="35"/>
      <c r="I39" s="35"/>
      <c r="J39" s="20"/>
    </row>
  </sheetData>
  <sheetProtection/>
  <mergeCells count="4">
    <mergeCell ref="B2:I2"/>
    <mergeCell ref="B3:I3"/>
    <mergeCell ref="B5:I5"/>
    <mergeCell ref="B26:I26"/>
  </mergeCells>
  <printOptions horizontalCentered="1"/>
  <pageMargins left="0.7874015748031497" right="0" top="0.3937007874015748" bottom="0.3937007874015748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3"/>
  <sheetViews>
    <sheetView view="pageBreakPreview" zoomScaleSheetLayoutView="100" zoomScalePageLayoutView="0" workbookViewId="0" topLeftCell="A3">
      <selection activeCell="P39" sqref="P6:P39"/>
    </sheetView>
  </sheetViews>
  <sheetFormatPr defaultColWidth="9.00390625" defaultRowHeight="12.75"/>
  <cols>
    <col min="1" max="1" width="1.625" style="0" customWidth="1"/>
    <col min="2" max="2" width="5.125" style="0" customWidth="1"/>
    <col min="3" max="3" width="39.625" style="0" customWidth="1"/>
    <col min="4" max="5" width="12.625" style="0" customWidth="1"/>
    <col min="6" max="9" width="12.625" style="56" hidden="1" customWidth="1"/>
    <col min="10" max="11" width="8.625" style="56" hidden="1" customWidth="1"/>
    <col min="12" max="12" width="14.875" style="0" customWidth="1"/>
    <col min="13" max="13" width="12.625" style="0" customWidth="1"/>
    <col min="14" max="15" width="12.625" style="57" hidden="1" customWidth="1"/>
    <col min="16" max="18" width="12.625" style="0" customWidth="1"/>
  </cols>
  <sheetData>
    <row r="2" ht="12.75">
      <c r="B2" s="55" t="s">
        <v>35</v>
      </c>
    </row>
    <row r="3" spans="2:18" ht="66">
      <c r="B3" s="58" t="s">
        <v>21</v>
      </c>
      <c r="C3" s="58" t="s">
        <v>36</v>
      </c>
      <c r="D3" s="58" t="s">
        <v>37</v>
      </c>
      <c r="E3" s="58" t="s">
        <v>38</v>
      </c>
      <c r="F3" s="59" t="s">
        <v>39</v>
      </c>
      <c r="G3" s="59" t="s">
        <v>40</v>
      </c>
      <c r="H3" s="59" t="s">
        <v>41</v>
      </c>
      <c r="I3" s="59" t="s">
        <v>42</v>
      </c>
      <c r="J3" s="59"/>
      <c r="K3" s="59"/>
      <c r="L3" s="58" t="s">
        <v>43</v>
      </c>
      <c r="M3" s="58" t="s">
        <v>44</v>
      </c>
      <c r="N3" s="60"/>
      <c r="O3" s="60"/>
      <c r="P3" s="58" t="s">
        <v>45</v>
      </c>
      <c r="Q3" s="58" t="s">
        <v>33</v>
      </c>
      <c r="R3" s="58" t="s">
        <v>46</v>
      </c>
    </row>
    <row r="4" spans="2:18" ht="12.75">
      <c r="B4" s="58"/>
      <c r="C4" s="58"/>
      <c r="D4" s="58"/>
      <c r="E4" s="58"/>
      <c r="F4" s="59"/>
      <c r="G4" s="59"/>
      <c r="H4" s="59"/>
      <c r="I4" s="59"/>
      <c r="J4" s="59"/>
      <c r="K4" s="59"/>
      <c r="L4" s="58"/>
      <c r="M4" s="58"/>
      <c r="N4" s="73"/>
      <c r="O4" s="73"/>
      <c r="P4" s="74"/>
      <c r="Q4" s="58"/>
      <c r="R4" s="75"/>
    </row>
    <row r="6" spans="2:18" ht="15" customHeight="1">
      <c r="B6" s="61">
        <v>1</v>
      </c>
      <c r="C6" s="62" t="s">
        <v>24</v>
      </c>
      <c r="D6" s="77"/>
      <c r="E6" s="77"/>
      <c r="F6" s="79">
        <v>5.7743</v>
      </c>
      <c r="G6" s="79">
        <v>0</v>
      </c>
      <c r="H6" s="79">
        <v>0</v>
      </c>
      <c r="I6" s="79">
        <v>1.3078</v>
      </c>
      <c r="J6" s="64">
        <v>200</v>
      </c>
      <c r="K6" s="64">
        <v>200</v>
      </c>
      <c r="L6" s="65">
        <f>F6/J6/24+(G6+H6+I6)/K6/24</f>
        <v>0.0014754375</v>
      </c>
      <c r="M6" s="66">
        <f>E6-L6</f>
        <v>-0.0014754375</v>
      </c>
      <c r="N6" s="86">
        <v>0</v>
      </c>
      <c r="O6" s="86">
        <v>0</v>
      </c>
      <c r="P6" s="69">
        <f aca="true" t="shared" si="0" ref="P6:P39">N6/200/24+O6/351/24</f>
        <v>0</v>
      </c>
      <c r="Q6" s="68"/>
      <c r="R6" s="87">
        <f aca="true" t="shared" si="1" ref="R6:R13">M6-Q6-P6</f>
        <v>-0.0014754375</v>
      </c>
    </row>
    <row r="7" spans="2:18" ht="15" customHeight="1">
      <c r="B7" s="61">
        <f>B6+1</f>
        <v>2</v>
      </c>
      <c r="C7" s="62" t="s">
        <v>49</v>
      </c>
      <c r="D7" s="77"/>
      <c r="E7" s="77"/>
      <c r="F7" s="119">
        <v>4.6981</v>
      </c>
      <c r="G7" s="79">
        <v>0</v>
      </c>
      <c r="H7" s="79">
        <v>0</v>
      </c>
      <c r="I7" s="79">
        <v>0.5348</v>
      </c>
      <c r="J7" s="64">
        <v>200</v>
      </c>
      <c r="K7" s="64">
        <v>351</v>
      </c>
      <c r="L7" s="65">
        <f>F7/J7/24+(G7+H7+I7)/K7/24</f>
        <v>0.0010422561134852803</v>
      </c>
      <c r="M7" s="66">
        <f aca="true" t="shared" si="2" ref="M7:M39">E7-L7</f>
        <v>-0.0010422561134852803</v>
      </c>
      <c r="N7" s="86">
        <v>11.07</v>
      </c>
      <c r="O7" s="86">
        <v>0</v>
      </c>
      <c r="P7" s="67">
        <f>N7/200/24+O7/351/24</f>
        <v>0.00230625</v>
      </c>
      <c r="Q7" s="68"/>
      <c r="R7" s="87">
        <f t="shared" si="1"/>
        <v>-0.0033485061134852804</v>
      </c>
    </row>
    <row r="8" spans="2:18" ht="15" customHeight="1">
      <c r="B8" s="61">
        <f>B7+1</f>
        <v>3</v>
      </c>
      <c r="C8" s="62" t="s">
        <v>60</v>
      </c>
      <c r="D8" s="77"/>
      <c r="E8" s="77"/>
      <c r="F8" s="80">
        <v>4.2609</v>
      </c>
      <c r="G8" s="83">
        <v>0</v>
      </c>
      <c r="H8" s="83">
        <v>0</v>
      </c>
      <c r="I8" s="84">
        <v>0.6905</v>
      </c>
      <c r="J8" s="64">
        <v>200</v>
      </c>
      <c r="K8" s="64">
        <v>200</v>
      </c>
      <c r="L8" s="65">
        <f>F8/J8/24+(G8+H8+I8)/K8/24</f>
        <v>0.0010315416666666667</v>
      </c>
      <c r="M8" s="66">
        <f t="shared" si="2"/>
        <v>-0.0010315416666666667</v>
      </c>
      <c r="N8" s="86">
        <v>0</v>
      </c>
      <c r="O8" s="86">
        <v>0</v>
      </c>
      <c r="P8" s="69">
        <f t="shared" si="0"/>
        <v>0</v>
      </c>
      <c r="Q8" s="68"/>
      <c r="R8" s="87">
        <f t="shared" si="1"/>
        <v>-0.0010315416666666667</v>
      </c>
    </row>
    <row r="9" spans="2:18" ht="15" customHeight="1">
      <c r="B9" s="61">
        <f aca="true" t="shared" si="3" ref="B9:B39">B8+1</f>
        <v>4</v>
      </c>
      <c r="C9" s="62" t="s">
        <v>4</v>
      </c>
      <c r="D9" s="77"/>
      <c r="E9" s="77"/>
      <c r="F9" s="120">
        <v>33.275</v>
      </c>
      <c r="G9" s="121">
        <v>0</v>
      </c>
      <c r="H9" s="121">
        <v>19.9603</v>
      </c>
      <c r="I9" s="122">
        <f>3.7612+0.748</f>
        <v>4.5092</v>
      </c>
      <c r="J9" s="123">
        <v>200</v>
      </c>
      <c r="K9" s="123">
        <v>351</v>
      </c>
      <c r="L9" s="65">
        <f aca="true" t="shared" si="4" ref="L9:L39">F9/J9/24+(G9+H9+I9)/K9/24</f>
        <v>0.009837028133903135</v>
      </c>
      <c r="M9" s="66">
        <f t="shared" si="2"/>
        <v>-0.009837028133903135</v>
      </c>
      <c r="N9" s="86">
        <v>202.704</v>
      </c>
      <c r="O9" s="86">
        <v>240.48</v>
      </c>
      <c r="P9" s="67">
        <f t="shared" si="0"/>
        <v>0.07077700854700854</v>
      </c>
      <c r="Q9" s="68"/>
      <c r="R9" s="87">
        <f t="shared" si="1"/>
        <v>-0.08061403668091167</v>
      </c>
    </row>
    <row r="10" spans="2:18" ht="15" customHeight="1">
      <c r="B10" s="61">
        <f t="shared" si="3"/>
        <v>5</v>
      </c>
      <c r="C10" s="62" t="s">
        <v>63</v>
      </c>
      <c r="D10" s="77"/>
      <c r="E10" s="77"/>
      <c r="F10" s="118">
        <v>16.5787</v>
      </c>
      <c r="G10" s="83">
        <v>0</v>
      </c>
      <c r="H10" s="83">
        <v>21.6775</v>
      </c>
      <c r="I10" s="84">
        <v>3.4886</v>
      </c>
      <c r="J10" s="64">
        <v>200</v>
      </c>
      <c r="K10" s="64">
        <v>200</v>
      </c>
      <c r="L10" s="65">
        <f>F10/J10/24+(G10+H10+I10)/K10/24</f>
        <v>0.008696833333333334</v>
      </c>
      <c r="M10" s="66">
        <f t="shared" si="2"/>
        <v>-0.008696833333333334</v>
      </c>
      <c r="N10" s="86">
        <v>264.89</v>
      </c>
      <c r="O10" s="86">
        <v>0</v>
      </c>
      <c r="P10" s="67">
        <f t="shared" si="0"/>
        <v>0.05518541666666666</v>
      </c>
      <c r="Q10" s="68"/>
      <c r="R10" s="87">
        <f t="shared" si="1"/>
        <v>-0.06388225</v>
      </c>
    </row>
    <row r="11" spans="2:18" ht="15" customHeight="1">
      <c r="B11" s="61">
        <f t="shared" si="3"/>
        <v>6</v>
      </c>
      <c r="C11" s="62" t="s">
        <v>13</v>
      </c>
      <c r="D11" s="77"/>
      <c r="E11" s="77"/>
      <c r="F11" s="81">
        <v>13.6849</v>
      </c>
      <c r="G11" s="83">
        <v>0</v>
      </c>
      <c r="H11" s="83">
        <v>0</v>
      </c>
      <c r="I11" s="84">
        <v>1.8669</v>
      </c>
      <c r="J11" s="64">
        <v>200</v>
      </c>
      <c r="K11" s="64">
        <v>200</v>
      </c>
      <c r="L11" s="65">
        <f t="shared" si="4"/>
        <v>0.0032399583333333334</v>
      </c>
      <c r="M11" s="66">
        <f t="shared" si="2"/>
        <v>-0.0032399583333333334</v>
      </c>
      <c r="N11" s="86">
        <v>114.97</v>
      </c>
      <c r="O11" s="86">
        <v>0</v>
      </c>
      <c r="P11" s="67">
        <f>N11/200/24+O11/351/24</f>
        <v>0.023952083333333332</v>
      </c>
      <c r="Q11" s="68"/>
      <c r="R11" s="87">
        <f t="shared" si="1"/>
        <v>-0.027192041666666666</v>
      </c>
    </row>
    <row r="12" spans="2:18" ht="15" customHeight="1">
      <c r="B12" s="61">
        <f t="shared" si="3"/>
        <v>7</v>
      </c>
      <c r="C12" s="62" t="s">
        <v>26</v>
      </c>
      <c r="D12" s="77"/>
      <c r="E12" s="77"/>
      <c r="F12" s="79">
        <v>9.0191</v>
      </c>
      <c r="G12" s="79">
        <v>18.3185</v>
      </c>
      <c r="H12" s="79">
        <v>0</v>
      </c>
      <c r="I12" s="79">
        <v>6.7486</v>
      </c>
      <c r="J12" s="64">
        <v>200</v>
      </c>
      <c r="K12" s="64">
        <v>351</v>
      </c>
      <c r="L12" s="65">
        <f t="shared" si="4"/>
        <v>0.004854655804843305</v>
      </c>
      <c r="M12" s="66">
        <f t="shared" si="2"/>
        <v>-0.004854655804843305</v>
      </c>
      <c r="N12" s="86">
        <v>199.99</v>
      </c>
      <c r="O12" s="86">
        <v>261.77</v>
      </c>
      <c r="P12" s="67">
        <f t="shared" si="0"/>
        <v>0.07273889482431148</v>
      </c>
      <c r="Q12" s="68"/>
      <c r="R12" s="87">
        <f t="shared" si="1"/>
        <v>-0.07759355062915478</v>
      </c>
    </row>
    <row r="13" spans="2:18" ht="15" customHeight="1">
      <c r="B13" s="61">
        <f t="shared" si="3"/>
        <v>8</v>
      </c>
      <c r="C13" s="62" t="s">
        <v>59</v>
      </c>
      <c r="D13" s="77"/>
      <c r="E13" s="77"/>
      <c r="F13" s="79">
        <v>20.8518</v>
      </c>
      <c r="G13" s="79">
        <v>0</v>
      </c>
      <c r="H13" s="79">
        <v>12.3845</v>
      </c>
      <c r="I13" s="79">
        <v>2.3991</v>
      </c>
      <c r="J13" s="64">
        <v>200</v>
      </c>
      <c r="K13" s="64">
        <v>200</v>
      </c>
      <c r="L13" s="65">
        <f t="shared" si="4"/>
        <v>0.0074240416666666665</v>
      </c>
      <c r="M13" s="66">
        <f t="shared" si="2"/>
        <v>-0.0074240416666666665</v>
      </c>
      <c r="N13" s="86">
        <v>176</v>
      </c>
      <c r="O13" s="86">
        <v>0</v>
      </c>
      <c r="P13" s="67">
        <f t="shared" si="0"/>
        <v>0.03666666666666667</v>
      </c>
      <c r="Q13" s="68"/>
      <c r="R13" s="87">
        <f t="shared" si="1"/>
        <v>-0.04409070833333333</v>
      </c>
    </row>
    <row r="14" spans="2:18" ht="12.75">
      <c r="B14" s="61">
        <f t="shared" si="3"/>
        <v>9</v>
      </c>
      <c r="C14" s="62" t="s">
        <v>3</v>
      </c>
      <c r="D14" s="77"/>
      <c r="E14" s="77"/>
      <c r="F14" s="80">
        <v>167.6017</v>
      </c>
      <c r="G14" s="83">
        <v>153.1439</v>
      </c>
      <c r="H14" s="83">
        <v>41.5855</v>
      </c>
      <c r="I14" s="84">
        <v>140.1289</v>
      </c>
      <c r="J14" s="64">
        <v>200</v>
      </c>
      <c r="K14" s="64">
        <v>200</v>
      </c>
      <c r="L14" s="65">
        <f t="shared" si="4"/>
        <v>0.10467916666666666</v>
      </c>
      <c r="M14" s="66">
        <f t="shared" si="2"/>
        <v>-0.10467916666666666</v>
      </c>
      <c r="N14" s="86">
        <v>8586.62</v>
      </c>
      <c r="O14" s="86">
        <v>4492.73</v>
      </c>
      <c r="P14" s="67">
        <f t="shared" si="0"/>
        <v>2.3222041904083572</v>
      </c>
      <c r="Q14" s="58"/>
      <c r="R14" s="58"/>
    </row>
    <row r="15" spans="2:18" ht="15" customHeight="1">
      <c r="B15" s="61">
        <f t="shared" si="3"/>
        <v>10</v>
      </c>
      <c r="C15" s="62" t="s">
        <v>62</v>
      </c>
      <c r="D15" s="77"/>
      <c r="E15" s="77"/>
      <c r="F15" s="80">
        <v>91.6852</v>
      </c>
      <c r="G15" s="83">
        <v>0</v>
      </c>
      <c r="H15" s="83">
        <v>0</v>
      </c>
      <c r="I15" s="84">
        <v>4.6078</v>
      </c>
      <c r="J15" s="64">
        <v>200</v>
      </c>
      <c r="K15" s="64">
        <v>200</v>
      </c>
      <c r="L15" s="65">
        <f t="shared" si="4"/>
        <v>0.020061041666666668</v>
      </c>
      <c r="M15" s="66">
        <f t="shared" si="2"/>
        <v>-0.020061041666666668</v>
      </c>
      <c r="N15" s="86">
        <v>1049.41</v>
      </c>
      <c r="O15" s="86">
        <v>0</v>
      </c>
      <c r="P15" s="67">
        <f t="shared" si="0"/>
        <v>0.21862708333333336</v>
      </c>
      <c r="Q15" s="68"/>
      <c r="R15" s="87">
        <f aca="true" t="shared" si="5" ref="R15:R21">M15-Q15-P15</f>
        <v>-0.23868812500000003</v>
      </c>
    </row>
    <row r="16" spans="2:18" ht="15" customHeight="1">
      <c r="B16" s="61">
        <f t="shared" si="3"/>
        <v>11</v>
      </c>
      <c r="C16" s="62" t="s">
        <v>56</v>
      </c>
      <c r="D16" s="77"/>
      <c r="E16" s="77"/>
      <c r="F16" s="80">
        <v>0.2643</v>
      </c>
      <c r="G16" s="83">
        <v>5.621</v>
      </c>
      <c r="H16" s="83">
        <v>0</v>
      </c>
      <c r="I16" s="84">
        <v>0.1536</v>
      </c>
      <c r="J16" s="64">
        <v>351</v>
      </c>
      <c r="K16" s="64">
        <v>351</v>
      </c>
      <c r="L16" s="65">
        <f t="shared" si="4"/>
        <v>0.0007168684710351377</v>
      </c>
      <c r="M16" s="66">
        <f t="shared" si="2"/>
        <v>-0.0007168684710351377</v>
      </c>
      <c r="N16" s="86">
        <v>0</v>
      </c>
      <c r="O16" s="86">
        <v>1.71</v>
      </c>
      <c r="P16" s="69">
        <f t="shared" si="0"/>
        <v>0.000202991452991453</v>
      </c>
      <c r="Q16" s="68"/>
      <c r="R16" s="87">
        <f t="shared" si="5"/>
        <v>-0.0009198599240265907</v>
      </c>
    </row>
    <row r="17" spans="2:18" ht="15" customHeight="1">
      <c r="B17" s="61">
        <f t="shared" si="3"/>
        <v>12</v>
      </c>
      <c r="C17" s="62" t="s">
        <v>50</v>
      </c>
      <c r="D17" s="77"/>
      <c r="E17" s="77"/>
      <c r="F17" s="80">
        <v>4.1776</v>
      </c>
      <c r="G17" s="83">
        <v>0</v>
      </c>
      <c r="H17" s="83">
        <v>0</v>
      </c>
      <c r="I17" s="84">
        <v>0.5047</v>
      </c>
      <c r="J17" s="64">
        <v>200</v>
      </c>
      <c r="K17" s="64">
        <v>200</v>
      </c>
      <c r="L17" s="65">
        <f t="shared" si="4"/>
        <v>0.0009754791666666666</v>
      </c>
      <c r="M17" s="66">
        <f t="shared" si="2"/>
        <v>-0.0009754791666666666</v>
      </c>
      <c r="N17" s="86">
        <v>75.7</v>
      </c>
      <c r="O17" s="86">
        <v>0</v>
      </c>
      <c r="P17" s="67">
        <f t="shared" si="0"/>
        <v>0.015770833333333335</v>
      </c>
      <c r="Q17" s="68"/>
      <c r="R17" s="87">
        <f t="shared" si="5"/>
        <v>-0.016746312500000003</v>
      </c>
    </row>
    <row r="18" spans="2:18" ht="15" customHeight="1">
      <c r="B18" s="61">
        <f t="shared" si="3"/>
        <v>13</v>
      </c>
      <c r="C18" s="62" t="s">
        <v>55</v>
      </c>
      <c r="D18" s="77"/>
      <c r="E18" s="77"/>
      <c r="F18" s="80">
        <v>1.068</v>
      </c>
      <c r="G18" s="83">
        <v>0</v>
      </c>
      <c r="H18" s="83">
        <v>0</v>
      </c>
      <c r="I18" s="84">
        <v>0.1202</v>
      </c>
      <c r="J18" s="64">
        <v>200</v>
      </c>
      <c r="K18" s="64">
        <v>200</v>
      </c>
      <c r="L18" s="65">
        <f t="shared" si="4"/>
        <v>0.0002475416666666667</v>
      </c>
      <c r="M18" s="66">
        <f t="shared" si="2"/>
        <v>-0.0002475416666666667</v>
      </c>
      <c r="N18" s="86">
        <v>9.65</v>
      </c>
      <c r="O18" s="86">
        <v>0</v>
      </c>
      <c r="P18" s="67">
        <f t="shared" si="0"/>
        <v>0.002010416666666667</v>
      </c>
      <c r="Q18" s="68"/>
      <c r="R18" s="87">
        <f t="shared" si="5"/>
        <v>-0.0022579583333333336</v>
      </c>
    </row>
    <row r="19" spans="2:18" ht="15" customHeight="1">
      <c r="B19" s="61">
        <f t="shared" si="3"/>
        <v>14</v>
      </c>
      <c r="C19" s="62" t="s">
        <v>48</v>
      </c>
      <c r="D19" s="77"/>
      <c r="E19" s="77"/>
      <c r="F19" s="63">
        <v>12.7343</v>
      </c>
      <c r="G19" s="63">
        <v>1.1122</v>
      </c>
      <c r="H19" s="63">
        <v>0</v>
      </c>
      <c r="I19" s="63">
        <v>5.042</v>
      </c>
      <c r="J19" s="64">
        <v>200</v>
      </c>
      <c r="K19" s="64">
        <v>200</v>
      </c>
      <c r="L19" s="65">
        <f t="shared" si="4"/>
        <v>0.003935104166666667</v>
      </c>
      <c r="M19" s="66">
        <f t="shared" si="2"/>
        <v>-0.003935104166666667</v>
      </c>
      <c r="N19" s="86">
        <v>716.61</v>
      </c>
      <c r="O19" s="86">
        <v>0</v>
      </c>
      <c r="P19" s="69">
        <f t="shared" si="0"/>
        <v>0.14929375</v>
      </c>
      <c r="Q19" s="68"/>
      <c r="R19" s="87">
        <f t="shared" si="5"/>
        <v>-0.15322885416666668</v>
      </c>
    </row>
    <row r="20" spans="2:18" ht="15" customHeight="1">
      <c r="B20" s="61">
        <f t="shared" si="3"/>
        <v>15</v>
      </c>
      <c r="C20" s="62" t="s">
        <v>25</v>
      </c>
      <c r="D20" s="77"/>
      <c r="E20" s="77"/>
      <c r="F20" s="80">
        <v>0.7943</v>
      </c>
      <c r="G20" s="83">
        <v>0</v>
      </c>
      <c r="H20" s="83">
        <v>0</v>
      </c>
      <c r="I20" s="84">
        <v>0.6214</v>
      </c>
      <c r="J20" s="64">
        <v>200</v>
      </c>
      <c r="K20" s="64">
        <v>200</v>
      </c>
      <c r="L20" s="65">
        <f t="shared" si="4"/>
        <v>0.0002949375</v>
      </c>
      <c r="M20" s="66">
        <f t="shared" si="2"/>
        <v>-0.0002949375</v>
      </c>
      <c r="N20" s="86">
        <v>114</v>
      </c>
      <c r="O20" s="86">
        <v>0</v>
      </c>
      <c r="P20" s="69">
        <f t="shared" si="0"/>
        <v>0.023749999999999997</v>
      </c>
      <c r="Q20" s="68"/>
      <c r="R20" s="87">
        <f t="shared" si="5"/>
        <v>-0.024044937499999995</v>
      </c>
    </row>
    <row r="21" spans="2:18" ht="15" customHeight="1">
      <c r="B21" s="61">
        <f t="shared" si="3"/>
        <v>16</v>
      </c>
      <c r="C21" s="62" t="s">
        <v>52</v>
      </c>
      <c r="D21" s="77"/>
      <c r="E21" s="77"/>
      <c r="F21" s="80">
        <v>6.702</v>
      </c>
      <c r="G21" s="83"/>
      <c r="H21" s="83"/>
      <c r="I21" s="84">
        <v>1.364</v>
      </c>
      <c r="J21" s="64">
        <v>200</v>
      </c>
      <c r="K21" s="64">
        <v>351</v>
      </c>
      <c r="L21" s="65">
        <f t="shared" si="4"/>
        <v>0.0015581683285849951</v>
      </c>
      <c r="M21" s="66">
        <f t="shared" si="2"/>
        <v>-0.0015581683285849951</v>
      </c>
      <c r="N21" s="86">
        <v>175.68</v>
      </c>
      <c r="O21" s="86"/>
      <c r="P21" s="69">
        <f t="shared" si="0"/>
        <v>0.0366</v>
      </c>
      <c r="Q21" s="68"/>
      <c r="R21" s="87">
        <f t="shared" si="5"/>
        <v>-0.038158168328585</v>
      </c>
    </row>
    <row r="22" spans="2:18" ht="15" customHeight="1">
      <c r="B22" s="61">
        <f t="shared" si="3"/>
        <v>17</v>
      </c>
      <c r="C22" s="62" t="s">
        <v>61</v>
      </c>
      <c r="D22" s="77"/>
      <c r="E22" s="77"/>
      <c r="F22" s="79">
        <v>14.6775</v>
      </c>
      <c r="G22" s="79">
        <v>20.2354</v>
      </c>
      <c r="H22" s="79">
        <v>21.6775</v>
      </c>
      <c r="I22" s="79">
        <v>6.9344</v>
      </c>
      <c r="J22" s="64">
        <v>200</v>
      </c>
      <c r="K22" s="64">
        <v>351</v>
      </c>
      <c r="L22" s="65">
        <f t="shared" si="4"/>
        <v>0.008856399869420703</v>
      </c>
      <c r="M22" s="66">
        <f t="shared" si="2"/>
        <v>-0.008856399869420703</v>
      </c>
      <c r="N22" s="86">
        <v>705.9</v>
      </c>
      <c r="O22" s="86">
        <v>670.04</v>
      </c>
      <c r="P22" s="67">
        <f t="shared" si="0"/>
        <v>0.22660191120607787</v>
      </c>
      <c r="Q22" s="68"/>
      <c r="R22" s="87"/>
    </row>
    <row r="23" spans="2:18" ht="15" customHeight="1">
      <c r="B23" s="61">
        <f t="shared" si="3"/>
        <v>18</v>
      </c>
      <c r="C23" s="62" t="s">
        <v>58</v>
      </c>
      <c r="D23" s="77"/>
      <c r="E23" s="77"/>
      <c r="F23" s="80">
        <v>13.9775</v>
      </c>
      <c r="G23" s="83">
        <v>5.1339</v>
      </c>
      <c r="H23" s="83">
        <v>21.6775</v>
      </c>
      <c r="I23" s="84">
        <v>4.0823</v>
      </c>
      <c r="J23" s="64">
        <v>200</v>
      </c>
      <c r="K23" s="64">
        <v>200</v>
      </c>
      <c r="L23" s="65">
        <f>F23/J23/24+(G23+H23+I23)/K23/24</f>
        <v>0.009348166666666666</v>
      </c>
      <c r="M23" s="66">
        <f t="shared" si="2"/>
        <v>-0.009348166666666666</v>
      </c>
      <c r="N23" s="86">
        <v>140.13</v>
      </c>
      <c r="O23" s="86">
        <v>148.7</v>
      </c>
      <c r="P23" s="67">
        <f t="shared" si="0"/>
        <v>0.04684569681861349</v>
      </c>
      <c r="Q23" s="68"/>
      <c r="R23" s="87">
        <f>M23-Q23-P23</f>
        <v>-0.05619386348528015</v>
      </c>
    </row>
    <row r="24" spans="2:18" ht="15" customHeight="1">
      <c r="B24" s="61">
        <f t="shared" si="3"/>
        <v>19</v>
      </c>
      <c r="C24" s="62" t="s">
        <v>51</v>
      </c>
      <c r="D24" s="77"/>
      <c r="E24" s="77"/>
      <c r="F24" s="80">
        <v>9.5188</v>
      </c>
      <c r="G24" s="83"/>
      <c r="H24" s="83"/>
      <c r="I24" s="84">
        <v>2.754</v>
      </c>
      <c r="J24" s="64">
        <v>200</v>
      </c>
      <c r="K24" s="64">
        <v>200</v>
      </c>
      <c r="L24" s="65">
        <f t="shared" si="4"/>
        <v>0.0025568333333333337</v>
      </c>
      <c r="M24" s="66">
        <f t="shared" si="2"/>
        <v>-0.0025568333333333337</v>
      </c>
      <c r="N24" s="86">
        <v>154</v>
      </c>
      <c r="O24" s="86">
        <v>0</v>
      </c>
      <c r="P24" s="67">
        <f t="shared" si="0"/>
        <v>0.03208333333333333</v>
      </c>
      <c r="Q24" s="68"/>
      <c r="R24" s="87">
        <f>M24-Q24-P24</f>
        <v>-0.034640166666666666</v>
      </c>
    </row>
    <row r="25" spans="2:18" ht="15" customHeight="1">
      <c r="B25" s="61">
        <f t="shared" si="3"/>
        <v>20</v>
      </c>
      <c r="C25" s="62" t="s">
        <v>54</v>
      </c>
      <c r="D25" s="77"/>
      <c r="E25" s="77"/>
      <c r="F25" s="79">
        <v>0.8999</v>
      </c>
      <c r="G25" s="79"/>
      <c r="H25" s="79"/>
      <c r="I25" s="79">
        <v>1.6978</v>
      </c>
      <c r="J25" s="64">
        <v>200</v>
      </c>
      <c r="K25" s="64">
        <v>351</v>
      </c>
      <c r="L25" s="65">
        <f t="shared" si="4"/>
        <v>0.00038902237654320985</v>
      </c>
      <c r="M25" s="66">
        <f t="shared" si="2"/>
        <v>-0.00038902237654320985</v>
      </c>
      <c r="N25" s="86">
        <v>311.11</v>
      </c>
      <c r="O25" s="86">
        <v>0</v>
      </c>
      <c r="P25" s="67">
        <f t="shared" si="0"/>
        <v>0.06481458333333333</v>
      </c>
      <c r="Q25" s="68"/>
      <c r="R25" s="87">
        <f>M25-Q25-P25</f>
        <v>-0.06520360570987654</v>
      </c>
    </row>
    <row r="26" spans="2:18" ht="15" customHeight="1">
      <c r="B26" s="61">
        <f t="shared" si="3"/>
        <v>21</v>
      </c>
      <c r="C26" s="62" t="s">
        <v>53</v>
      </c>
      <c r="D26" s="77"/>
      <c r="E26" s="77"/>
      <c r="F26" s="79">
        <v>0.6397</v>
      </c>
      <c r="G26" s="79"/>
      <c r="H26" s="79"/>
      <c r="I26" s="79">
        <v>0.4479</v>
      </c>
      <c r="J26" s="64">
        <v>200</v>
      </c>
      <c r="K26" s="64">
        <v>200</v>
      </c>
      <c r="L26" s="65">
        <f t="shared" si="4"/>
        <v>0.00022658333333333336</v>
      </c>
      <c r="M26" s="66">
        <f t="shared" si="2"/>
        <v>-0.00022658333333333336</v>
      </c>
      <c r="N26" s="86">
        <v>12.21</v>
      </c>
      <c r="O26" s="86">
        <v>12.34</v>
      </c>
      <c r="P26" s="67">
        <f t="shared" si="0"/>
        <v>0.004008612298195632</v>
      </c>
      <c r="Q26" s="68"/>
      <c r="R26" s="87">
        <f>M26-Q26-P26</f>
        <v>-0.004235195631528965</v>
      </c>
    </row>
    <row r="27" spans="2:18" ht="15" customHeight="1">
      <c r="B27" s="61">
        <f t="shared" si="3"/>
        <v>22</v>
      </c>
      <c r="C27" s="62" t="s">
        <v>16</v>
      </c>
      <c r="D27" s="89"/>
      <c r="E27" s="89"/>
      <c r="F27" s="81">
        <v>0.6038</v>
      </c>
      <c r="G27" s="83"/>
      <c r="H27" s="83"/>
      <c r="I27" s="84">
        <v>0.3855</v>
      </c>
      <c r="J27" s="90">
        <v>200</v>
      </c>
      <c r="K27" s="90">
        <v>351</v>
      </c>
      <c r="L27" s="91">
        <f t="shared" si="4"/>
        <v>0.00017155377492877492</v>
      </c>
      <c r="M27" s="92">
        <f t="shared" si="2"/>
        <v>-0.00017155377492877492</v>
      </c>
      <c r="N27" s="86">
        <v>38.81</v>
      </c>
      <c r="O27" s="86"/>
      <c r="P27" s="93">
        <f t="shared" si="0"/>
        <v>0.008085416666666666</v>
      </c>
      <c r="Q27" s="94"/>
      <c r="R27" s="95">
        <f>M27-Q27-P27</f>
        <v>-0.008256970441595441</v>
      </c>
    </row>
    <row r="28" spans="2:18" ht="12.75">
      <c r="B28" s="61">
        <f t="shared" si="3"/>
        <v>23</v>
      </c>
      <c r="C28" s="62" t="s">
        <v>64</v>
      </c>
      <c r="D28" s="89"/>
      <c r="E28" s="89"/>
      <c r="F28" s="97">
        <v>87.0067</v>
      </c>
      <c r="G28" s="96"/>
      <c r="H28" s="96"/>
      <c r="I28" s="96">
        <v>0.4021</v>
      </c>
      <c r="J28" s="96">
        <v>200</v>
      </c>
      <c r="K28" s="96">
        <v>200</v>
      </c>
      <c r="L28" s="91">
        <f t="shared" si="4"/>
        <v>0.018210166666666666</v>
      </c>
      <c r="M28" s="92">
        <f t="shared" si="2"/>
        <v>-0.018210166666666666</v>
      </c>
      <c r="N28" s="86">
        <v>0</v>
      </c>
      <c r="O28" s="86">
        <v>0</v>
      </c>
      <c r="P28" s="93">
        <f t="shared" si="0"/>
        <v>0</v>
      </c>
      <c r="Q28" s="88"/>
      <c r="R28" s="88"/>
    </row>
    <row r="29" spans="2:18" ht="15" customHeight="1">
      <c r="B29" s="61">
        <f t="shared" si="3"/>
        <v>24</v>
      </c>
      <c r="C29" s="62" t="s">
        <v>8</v>
      </c>
      <c r="D29" s="77"/>
      <c r="E29" s="77"/>
      <c r="F29" s="79">
        <v>110.6659</v>
      </c>
      <c r="G29" s="79"/>
      <c r="H29" s="79"/>
      <c r="I29" s="79">
        <v>22.8072</v>
      </c>
      <c r="J29" s="64">
        <v>200</v>
      </c>
      <c r="K29" s="64">
        <v>351</v>
      </c>
      <c r="L29" s="65">
        <f t="shared" si="4"/>
        <v>0.025762803240740737</v>
      </c>
      <c r="M29" s="66">
        <f t="shared" si="2"/>
        <v>-0.025762803240740737</v>
      </c>
      <c r="N29" s="86">
        <f>2219.59+223.37+149.75</f>
        <v>2592.71</v>
      </c>
      <c r="O29" s="86">
        <f>1587.39+281.18+0</f>
        <v>1868.5700000000002</v>
      </c>
      <c r="P29" s="67">
        <f t="shared" si="0"/>
        <v>0.7619629688983856</v>
      </c>
      <c r="Q29" s="68"/>
      <c r="R29" s="87">
        <f aca="true" t="shared" si="6" ref="R29:R35">M29-Q29-P29</f>
        <v>-0.7877257721391263</v>
      </c>
    </row>
    <row r="30" spans="2:18" ht="15" customHeight="1">
      <c r="B30" s="61">
        <f t="shared" si="3"/>
        <v>25</v>
      </c>
      <c r="C30" s="62" t="s">
        <v>7</v>
      </c>
      <c r="D30" s="77"/>
      <c r="E30" s="77"/>
      <c r="F30" s="79">
        <v>56.7383</v>
      </c>
      <c r="G30" s="79">
        <v>5.1339</v>
      </c>
      <c r="H30" s="79">
        <v>21.6775</v>
      </c>
      <c r="I30" s="79">
        <v>8.1865</v>
      </c>
      <c r="J30" s="64">
        <v>200</v>
      </c>
      <c r="K30" s="64">
        <v>351</v>
      </c>
      <c r="L30" s="65">
        <f t="shared" si="4"/>
        <v>0.01597502570037987</v>
      </c>
      <c r="M30" s="66">
        <f t="shared" si="2"/>
        <v>-0.01597502570037987</v>
      </c>
      <c r="N30" s="86">
        <v>819.22</v>
      </c>
      <c r="O30" s="86">
        <v>131.33</v>
      </c>
      <c r="P30" s="67">
        <f t="shared" si="0"/>
        <v>0.186260814339981</v>
      </c>
      <c r="Q30" s="68"/>
      <c r="R30" s="87">
        <f t="shared" si="6"/>
        <v>-0.20223584004036088</v>
      </c>
    </row>
    <row r="31" spans="2:18" ht="15" customHeight="1">
      <c r="B31" s="61">
        <f t="shared" si="3"/>
        <v>26</v>
      </c>
      <c r="C31" s="62" t="s">
        <v>6</v>
      </c>
      <c r="D31" s="77"/>
      <c r="E31" s="77"/>
      <c r="F31" s="79">
        <v>29.3149</v>
      </c>
      <c r="G31" s="79"/>
      <c r="H31" s="79">
        <v>21.6775</v>
      </c>
      <c r="I31" s="79">
        <v>6.129</v>
      </c>
      <c r="J31" s="64">
        <v>200</v>
      </c>
      <c r="K31" s="64">
        <v>200</v>
      </c>
      <c r="L31" s="65">
        <f t="shared" si="4"/>
        <v>0.011900291666666667</v>
      </c>
      <c r="M31" s="66">
        <f t="shared" si="2"/>
        <v>-0.011900291666666667</v>
      </c>
      <c r="N31" s="86">
        <v>185.63</v>
      </c>
      <c r="O31" s="86">
        <v>210.43</v>
      </c>
      <c r="P31" s="67">
        <f t="shared" si="0"/>
        <v>0.06365273622981957</v>
      </c>
      <c r="Q31" s="68"/>
      <c r="R31" s="87">
        <f t="shared" si="6"/>
        <v>-0.07555302789648624</v>
      </c>
    </row>
    <row r="32" spans="2:18" ht="15" customHeight="1">
      <c r="B32" s="61">
        <f t="shared" si="3"/>
        <v>27</v>
      </c>
      <c r="C32" s="62" t="s">
        <v>15</v>
      </c>
      <c r="D32" s="77"/>
      <c r="E32" s="77"/>
      <c r="F32" s="79">
        <v>0</v>
      </c>
      <c r="G32" s="79"/>
      <c r="H32" s="79"/>
      <c r="I32" s="79">
        <v>0.6515</v>
      </c>
      <c r="J32" s="64">
        <v>200</v>
      </c>
      <c r="K32" s="64">
        <v>200</v>
      </c>
      <c r="L32" s="65">
        <f t="shared" si="4"/>
        <v>0.00013572916666666667</v>
      </c>
      <c r="M32" s="66">
        <f t="shared" si="2"/>
        <v>-0.00013572916666666667</v>
      </c>
      <c r="N32" s="86">
        <v>44.11</v>
      </c>
      <c r="O32" s="86">
        <v>0</v>
      </c>
      <c r="P32" s="67">
        <f t="shared" si="0"/>
        <v>0.009189583333333333</v>
      </c>
      <c r="Q32" s="68"/>
      <c r="R32" s="87">
        <f t="shared" si="6"/>
        <v>-0.009325312499999999</v>
      </c>
    </row>
    <row r="33" spans="2:18" ht="15" customHeight="1">
      <c r="B33" s="61">
        <f t="shared" si="3"/>
        <v>28</v>
      </c>
      <c r="C33" s="62" t="s">
        <v>14</v>
      </c>
      <c r="D33" s="77"/>
      <c r="E33" s="77"/>
      <c r="F33" s="79">
        <v>18.0077</v>
      </c>
      <c r="G33" s="79"/>
      <c r="H33" s="79"/>
      <c r="I33" s="79">
        <v>5.4618</v>
      </c>
      <c r="J33" s="64">
        <v>200</v>
      </c>
      <c r="K33" s="64">
        <v>200</v>
      </c>
      <c r="L33" s="65">
        <f t="shared" si="4"/>
        <v>0.004889479166666667</v>
      </c>
      <c r="M33" s="66">
        <f t="shared" si="2"/>
        <v>-0.004889479166666667</v>
      </c>
      <c r="N33" s="86">
        <v>515.67</v>
      </c>
      <c r="O33" s="86">
        <v>0</v>
      </c>
      <c r="P33" s="67">
        <f t="shared" si="0"/>
        <v>0.10743124999999999</v>
      </c>
      <c r="Q33" s="68"/>
      <c r="R33" s="87">
        <f t="shared" si="6"/>
        <v>-0.11232072916666666</v>
      </c>
    </row>
    <row r="34" spans="2:18" ht="15" customHeight="1">
      <c r="B34" s="61">
        <f t="shared" si="3"/>
        <v>29</v>
      </c>
      <c r="C34" s="62" t="s">
        <v>17</v>
      </c>
      <c r="D34" s="77"/>
      <c r="E34" s="77"/>
      <c r="F34" s="79">
        <v>0.5269</v>
      </c>
      <c r="G34" s="79"/>
      <c r="H34" s="79"/>
      <c r="I34" s="79">
        <v>0.7101</v>
      </c>
      <c r="J34" s="64">
        <v>200</v>
      </c>
      <c r="K34" s="64">
        <v>351</v>
      </c>
      <c r="L34" s="65">
        <f t="shared" si="4"/>
        <v>0.00019406570512820514</v>
      </c>
      <c r="M34" s="66">
        <f t="shared" si="2"/>
        <v>-0.00019406570512820514</v>
      </c>
      <c r="N34" s="86">
        <v>10.89</v>
      </c>
      <c r="O34" s="86">
        <v>0</v>
      </c>
      <c r="P34" s="67">
        <f t="shared" si="0"/>
        <v>0.0022687500000000004</v>
      </c>
      <c r="Q34" s="68"/>
      <c r="R34" s="87">
        <f t="shared" si="6"/>
        <v>-0.0024628157051282055</v>
      </c>
    </row>
    <row r="35" spans="2:18" ht="15" customHeight="1">
      <c r="B35" s="61">
        <f t="shared" si="3"/>
        <v>30</v>
      </c>
      <c r="C35" s="62" t="s">
        <v>47</v>
      </c>
      <c r="D35" s="77"/>
      <c r="E35" s="77"/>
      <c r="F35" s="79">
        <v>1.1841</v>
      </c>
      <c r="G35" s="79">
        <v>2.0438</v>
      </c>
      <c r="H35" s="79"/>
      <c r="I35" s="79">
        <v>2.5242</v>
      </c>
      <c r="J35" s="64">
        <v>200</v>
      </c>
      <c r="K35" s="64">
        <v>351</v>
      </c>
      <c r="L35" s="65">
        <f t="shared" si="4"/>
        <v>0.0007889477089268757</v>
      </c>
      <c r="M35" s="66">
        <f t="shared" si="2"/>
        <v>-0.0007889477089268757</v>
      </c>
      <c r="N35" s="86">
        <v>90.35</v>
      </c>
      <c r="O35" s="86">
        <v>38.2</v>
      </c>
      <c r="P35" s="67">
        <f t="shared" si="0"/>
        <v>0.023357579534662866</v>
      </c>
      <c r="Q35" s="68"/>
      <c r="R35" s="87">
        <f t="shared" si="6"/>
        <v>-0.024146527243589743</v>
      </c>
    </row>
    <row r="36" spans="2:18" ht="12.75">
      <c r="B36" s="61">
        <f t="shared" si="3"/>
        <v>31</v>
      </c>
      <c r="C36" s="62" t="s">
        <v>5</v>
      </c>
      <c r="D36" s="78"/>
      <c r="E36" s="77"/>
      <c r="F36" s="79">
        <v>4.6894</v>
      </c>
      <c r="G36" s="79"/>
      <c r="H36" s="79">
        <v>17.8553</v>
      </c>
      <c r="I36" s="79">
        <v>1.232</v>
      </c>
      <c r="J36" s="64">
        <v>200</v>
      </c>
      <c r="K36" s="64">
        <v>351</v>
      </c>
      <c r="L36" s="65">
        <f t="shared" si="4"/>
        <v>0.003242782169990503</v>
      </c>
      <c r="M36" s="66">
        <f t="shared" si="2"/>
        <v>-0.003242782169990503</v>
      </c>
      <c r="N36" s="86">
        <v>100.18</v>
      </c>
      <c r="O36" s="86">
        <v>92.33</v>
      </c>
      <c r="P36" s="67">
        <f>N36/200/24+O36/351/24</f>
        <v>0.03183118471035138</v>
      </c>
      <c r="Q36" s="88"/>
      <c r="R36" s="88"/>
    </row>
    <row r="37" spans="2:18" ht="15" customHeight="1">
      <c r="B37" s="61">
        <f t="shared" si="3"/>
        <v>32</v>
      </c>
      <c r="C37" s="76" t="s">
        <v>2</v>
      </c>
      <c r="D37" s="77"/>
      <c r="E37" s="77"/>
      <c r="F37" s="82">
        <v>151.4083</v>
      </c>
      <c r="G37" s="82"/>
      <c r="H37" s="82">
        <v>46.8942</v>
      </c>
      <c r="I37" s="85">
        <v>166.5019</v>
      </c>
      <c r="J37" s="64">
        <v>200</v>
      </c>
      <c r="K37" s="64">
        <v>200</v>
      </c>
      <c r="L37" s="65">
        <f t="shared" si="4"/>
        <v>0.07600091666666667</v>
      </c>
      <c r="M37" s="66">
        <f t="shared" si="2"/>
        <v>-0.07600091666666667</v>
      </c>
      <c r="N37" s="86">
        <f>21902.35+1179.86+106.27+185.8+801.88+835.69+152.21+757.92</f>
        <v>25921.979999999996</v>
      </c>
      <c r="O37" s="86">
        <f>399.52+62.04+176.73+991.27+540.2+643.86</f>
        <v>2813.6200000000003</v>
      </c>
      <c r="P37" s="67">
        <f t="shared" si="0"/>
        <v>5.734412974833807</v>
      </c>
      <c r="Q37" s="68"/>
      <c r="R37" s="87">
        <f>M37-Q37-P37</f>
        <v>-5.810413891500474</v>
      </c>
    </row>
    <row r="38" spans="2:18" ht="15" customHeight="1">
      <c r="B38" s="61">
        <f t="shared" si="3"/>
        <v>33</v>
      </c>
      <c r="C38" s="62" t="s">
        <v>27</v>
      </c>
      <c r="D38" s="77"/>
      <c r="E38" s="77"/>
      <c r="F38" s="80">
        <v>0.4431</v>
      </c>
      <c r="G38" s="80"/>
      <c r="H38" s="80"/>
      <c r="I38" s="80">
        <v>0.1768</v>
      </c>
      <c r="J38" s="64">
        <v>200</v>
      </c>
      <c r="K38" s="64">
        <v>200</v>
      </c>
      <c r="L38" s="65">
        <f t="shared" si="4"/>
        <v>0.00012914583333333333</v>
      </c>
      <c r="M38" s="66">
        <f t="shared" si="2"/>
        <v>-0.00012914583333333333</v>
      </c>
      <c r="N38" s="86">
        <v>19.35</v>
      </c>
      <c r="O38" s="86"/>
      <c r="P38" s="67">
        <f t="shared" si="0"/>
        <v>0.00403125</v>
      </c>
      <c r="Q38" s="68"/>
      <c r="R38" s="87">
        <f>M38-Q38-P38</f>
        <v>-0.004160395833333334</v>
      </c>
    </row>
    <row r="39" spans="2:18" ht="15" customHeight="1">
      <c r="B39" s="61">
        <f t="shared" si="3"/>
        <v>34</v>
      </c>
      <c r="C39" s="62" t="s">
        <v>57</v>
      </c>
      <c r="D39" s="77"/>
      <c r="E39" s="77"/>
      <c r="F39" s="80">
        <v>4.8659</v>
      </c>
      <c r="G39" s="80"/>
      <c r="H39" s="80"/>
      <c r="I39" s="80">
        <v>1.5076</v>
      </c>
      <c r="J39" s="64">
        <v>200</v>
      </c>
      <c r="K39" s="64">
        <v>200</v>
      </c>
      <c r="L39" s="65">
        <f t="shared" si="4"/>
        <v>0.0013278125</v>
      </c>
      <c r="M39" s="66">
        <f t="shared" si="2"/>
        <v>-0.0013278125</v>
      </c>
      <c r="N39" s="86">
        <v>183.13</v>
      </c>
      <c r="O39" s="86"/>
      <c r="P39" s="67">
        <f t="shared" si="0"/>
        <v>0.03815208333333333</v>
      </c>
      <c r="Q39" s="68"/>
      <c r="R39" s="87">
        <f>M39-Q39-P39</f>
        <v>-0.03947989583333333</v>
      </c>
    </row>
    <row r="43" spans="4:18" ht="14.25">
      <c r="D43" s="70"/>
      <c r="E43" s="70"/>
      <c r="F43" s="71"/>
      <c r="G43" s="71"/>
      <c r="H43" s="71"/>
      <c r="I43" s="71"/>
      <c r="J43" s="71"/>
      <c r="K43" s="71"/>
      <c r="L43" s="70"/>
      <c r="M43" s="70"/>
      <c r="N43" s="72"/>
      <c r="O43" s="72"/>
      <c r="P43" s="70"/>
      <c r="Q43" s="70"/>
      <c r="R43" s="70"/>
    </row>
  </sheetData>
  <sheetProtection/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dyashchuk</dc:creator>
  <cp:keywords/>
  <dc:description/>
  <cp:lastModifiedBy>Ермошин Александр Николаевич</cp:lastModifiedBy>
  <cp:lastPrinted>2021-02-05T12:47:10Z</cp:lastPrinted>
  <dcterms:created xsi:type="dcterms:W3CDTF">2009-11-03T06:23:17Z</dcterms:created>
  <dcterms:modified xsi:type="dcterms:W3CDTF">2021-03-03T05:43:55Z</dcterms:modified>
  <cp:category/>
  <cp:version/>
  <cp:contentType/>
  <cp:contentStatus/>
</cp:coreProperties>
</file>